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15"/>
  <workbookPr/>
  <mc:AlternateContent xmlns:mc="http://schemas.openxmlformats.org/markup-compatibility/2006">
    <mc:Choice Requires="x15">
      <x15ac:absPath xmlns:x15ac="http://schemas.microsoft.com/office/spreadsheetml/2010/11/ac" url="https://d.docs.live.net/986b2572d65558c9/Dokumenty/Domowik/"/>
    </mc:Choice>
  </mc:AlternateContent>
  <xr:revisionPtr revIDLastSave="394" documentId="8_{F2390A5D-49C4-4770-BBBC-BB00042841E7}" xr6:coauthVersionLast="47" xr6:coauthVersionMax="47" xr10:uidLastSave="{7651D786-B092-4775-92FD-22348CA1B801}"/>
  <bookViews>
    <workbookView xWindow="28680" yWindow="-120" windowWidth="29040" windowHeight="15720" firstSheet="1" activeTab="2" xr2:uid="{E0095D1E-BC71-47B2-BF38-5D4637BC61D1}"/>
  </bookViews>
  <sheets>
    <sheet name="Instrukcja" sheetId="8" r:id="rId1"/>
    <sheet name="Podstawowe parametry" sheetId="1" r:id="rId2"/>
    <sheet name="Kredyt" sheetId="6" r:id="rId3"/>
    <sheet name="Wynik " sheetId="4" state="hidden" r:id="rId4"/>
    <sheet name="Wyniki2" sheetId="13" r:id="rId5"/>
    <sheet name="Koszty" sheetId="15" r:id="rId6"/>
    <sheet name="Zyski" sheetId="14" r:id="rId7"/>
    <sheet name="Przychody vs Koszty" sheetId="16" r:id="rId8"/>
  </sheets>
  <definedNames>
    <definedName name="CenaM">'Podstawowe parametry'!$C$5:$C$5</definedName>
    <definedName name="Czas_DużyRemont">Wyniki2!$C$27</definedName>
    <definedName name="Czas_MałyRemont">Wyniki2!$C$23</definedName>
    <definedName name="CzasKredytu">Kredyt!$B$7</definedName>
    <definedName name="CzyKredyt">'Podstawowe parametry'!$C$24:$C$24</definedName>
    <definedName name="Czynsz">'Wynik '!$D$30:$D$30</definedName>
    <definedName name="CzynszWspólnoty">Wyniki2!$C$30</definedName>
    <definedName name="DużRem">'Wynik '!$D$26:$D$26</definedName>
    <definedName name="DużyPodatek">Wyniki2!$C$36</definedName>
    <definedName name="DużyRemont">Wyniki2!$C$26</definedName>
    <definedName name="HoryzontInw">'Wynik '!$D$4:$D$4</definedName>
    <definedName name="HoryzontInwestycyjny">Wyniki2!$C$4</definedName>
    <definedName name="IlośćRat">Kredyt!$B$9:$B$9</definedName>
    <definedName name="Inf">'Wynik '!$D$8:$D$8</definedName>
    <definedName name="Inflacja">Wyniki2!$C$8</definedName>
    <definedName name="InflacjaWKażdymRoku">Wyniki2!$J$54:$J$103</definedName>
    <definedName name="InneKoszty">'Wynik '!$D$32:$D$32</definedName>
    <definedName name="InneKosztyRocznie">Wyniki2!$C$32</definedName>
    <definedName name="K_DużRem">'Wynik '!$D$28:$D$28</definedName>
    <definedName name="K_MałRem">'Wynik '!$D$24:$D$24</definedName>
    <definedName name="KosInf">'Wynik '!$D$34:$D$34</definedName>
    <definedName name="KosztRemontu">'Podstawowe parametry'!$C$14</definedName>
    <definedName name="KosztyKredytu">Kredyt!$B$25</definedName>
    <definedName name="KosztyZarządzania">Wyniki2!$C$33</definedName>
    <definedName name="KosztZarządu">Wyniki2!$C$33</definedName>
    <definedName name="Kwota_DużyRemont">Wyniki2!$C$28</definedName>
    <definedName name="Kwota_MałyRemont">Wyniki2!$C$24</definedName>
    <definedName name="KwotaKredytu">Kredyt!$B$4:$B$4</definedName>
    <definedName name="KwotaZmianyOdstępnego">Wyniki2!$C$18</definedName>
    <definedName name="KwoZmi">'Wynik '!$D$18:$D$18</definedName>
    <definedName name="LatWyn">'Wynik '!$D$49:$BA$49</definedName>
    <definedName name="Małrem">'Wynik '!$D$22:$D$22</definedName>
    <definedName name="MałyPodatek">Wyniki2!$C$35</definedName>
    <definedName name="MałyRemont">Wyniki2!$C$22</definedName>
    <definedName name="MarżaBAnku">Kredyt!$B$12:$B$12</definedName>
    <definedName name="MiesiąceNajmu">Wyniki2!$C$10</definedName>
    <definedName name="MieWyn">'Wynik '!$D$10:$D$10</definedName>
    <definedName name="ObszarInf">'Wynik '!$D$59:$BA$59</definedName>
    <definedName name="Ods">'Wynik '!$D$12:$D$12</definedName>
    <definedName name="Odstępne">Wyniki2!$C$12</definedName>
    <definedName name="OdsWLat">'Wynik '!$D$54:$AL$54</definedName>
    <definedName name="OprocentowanieKredytu">Kredyt!$B$14:$B$14</definedName>
    <definedName name="PodatekOdNieruchomości">Wyniki2!$C$31</definedName>
    <definedName name="PodNie">'Wynik '!$D$31:$D$31</definedName>
    <definedName name="ProcentZmianyOdstępnego">Wyniki2!$C$17</definedName>
    <definedName name="ProcZmi">'Wynik '!$D$17:$D$17</definedName>
    <definedName name="StałaKwotaZmianyWartoNierucho">'Wynik '!$D$44</definedName>
    <definedName name="StałaKwotaZmianyWartościNieruchomości">Wyniki2!$C$44</definedName>
    <definedName name="StałyProcentZmianyWartościNieruchomości">Wyniki2!$C$43</definedName>
    <definedName name="StałyProcZmianWarNier">'Wynik '!$D$43</definedName>
    <definedName name="SumaK">'Podstawowe parametry'!$C$17:$C$17</definedName>
    <definedName name="SumaKosztów">'Podstawowe parametry'!$C$17:$C$17</definedName>
    <definedName name="SumaKosztówPoczątkowychInwestycji">Kredyt!$B$23:$B$23</definedName>
    <definedName name="T_DużRem">'Wynik '!$D$27:$D$27</definedName>
    <definedName name="T_MałRem">'Wynik '!$D$23:$D$23</definedName>
    <definedName name="UbezMiesz">Kredyt!$B$21:$B$21</definedName>
    <definedName name="UbezŻyć">Kredyt!$B$18:$B$18</definedName>
    <definedName name="WartośćM">'Podstawowe parametry'!$C$21</definedName>
    <definedName name="WartośćWycena">'Podstawowe parametry'!$C$22:$C$22</definedName>
    <definedName name="WIBOR3M">Kredyt!$B$13:$B$13</definedName>
    <definedName name="WspółZmianyWartoNierucho">'Wynik '!$D$40</definedName>
    <definedName name="WydanaGotówka1">'Podstawowe parametry'!$C$27:$C$27</definedName>
    <definedName name="WydanaGotówka2">Kredyt!$B$24:$B$24</definedName>
    <definedName name="WydatkiPozaCenąM">'Podstawowe parametry'!$C$18</definedName>
    <definedName name="WynikNaSprzedażyNieruchomości">Wyniki2!$M$20</definedName>
    <definedName name="Zarząd">'Wynik '!$D$33:$D$33</definedName>
    <definedName name="ZmianaKosztów">Wyniki2!$C$34</definedName>
    <definedName name="ZmianaOdstępnego">Wyniki2!$C$14</definedName>
    <definedName name="ZmianaWartościNieruchomości">Wyniki2!$C$40</definedName>
    <definedName name="ZmiOds">'Wynik '!$D$14:$D$14</definedName>
  </definedNames>
  <calcPr calcId="191028"/>
  <pivotCaches>
    <pivotCache cacheId="33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6" l="1" a="1"/>
  <c r="B4" i="6" s="1"/>
  <c r="AA53" i="13"/>
  <c r="D122" i="13"/>
  <c r="E122" i="13"/>
  <c r="F122" i="13"/>
  <c r="G122" i="13"/>
  <c r="H122" i="13"/>
  <c r="J122" i="13"/>
  <c r="N122" i="13" a="1"/>
  <c r="N122" i="13" s="1"/>
  <c r="O122" i="13" a="1"/>
  <c r="O122" i="13" s="1"/>
  <c r="P122" i="13" a="1"/>
  <c r="P122" i="13" s="1"/>
  <c r="Q122" i="13"/>
  <c r="R122" i="13"/>
  <c r="T122" i="13" a="1"/>
  <c r="T122" i="13" s="1"/>
  <c r="U122" i="13" a="1"/>
  <c r="U122" i="13" s="1"/>
  <c r="V122" i="13" a="1"/>
  <c r="V122" i="13" s="1"/>
  <c r="X122" i="13" a="1"/>
  <c r="X122" i="13" s="1"/>
  <c r="AB122" i="13"/>
  <c r="AC122" i="13"/>
  <c r="AD122" i="13"/>
  <c r="AE122" i="13"/>
  <c r="AF122" i="13"/>
  <c r="AG122" i="13"/>
  <c r="AH122" i="13"/>
  <c r="AK122" i="13" a="1"/>
  <c r="AK122" i="13" s="1"/>
  <c r="D123" i="13"/>
  <c r="E123" i="13"/>
  <c r="F123" i="13"/>
  <c r="G123" i="13"/>
  <c r="H123" i="13"/>
  <c r="J123" i="13"/>
  <c r="N123" i="13" a="1"/>
  <c r="N123" i="13" s="1"/>
  <c r="O123" i="13" a="1"/>
  <c r="O123" i="13" s="1"/>
  <c r="P123" i="13" a="1"/>
  <c r="P123" i="13" s="1"/>
  <c r="Q123" i="13"/>
  <c r="R123" i="13"/>
  <c r="T123" i="13" a="1"/>
  <c r="T123" i="13" s="1"/>
  <c r="U123" i="13" a="1"/>
  <c r="U123" i="13" s="1"/>
  <c r="V123" i="13" a="1"/>
  <c r="V123" i="13" s="1"/>
  <c r="X123" i="13" a="1"/>
  <c r="X123" i="13" s="1"/>
  <c r="AB123" i="13"/>
  <c r="AC123" i="13"/>
  <c r="AD123" i="13"/>
  <c r="AE123" i="13"/>
  <c r="AF123" i="13"/>
  <c r="AG123" i="13"/>
  <c r="AH123" i="13"/>
  <c r="AK123" i="13" a="1"/>
  <c r="AK123" i="13" s="1"/>
  <c r="D124" i="13"/>
  <c r="E124" i="13"/>
  <c r="F124" i="13"/>
  <c r="G124" i="13"/>
  <c r="H124" i="13"/>
  <c r="J124" i="13"/>
  <c r="N124" i="13" a="1"/>
  <c r="N124" i="13" s="1"/>
  <c r="O124" i="13" a="1"/>
  <c r="O124" i="13" s="1"/>
  <c r="P124" i="13" a="1"/>
  <c r="P124" i="13" s="1"/>
  <c r="Q124" i="13"/>
  <c r="R124" i="13"/>
  <c r="T124" i="13" a="1"/>
  <c r="T124" i="13" s="1"/>
  <c r="U124" i="13" a="1"/>
  <c r="U124" i="13" s="1"/>
  <c r="V124" i="13" a="1"/>
  <c r="V124" i="13" s="1"/>
  <c r="X124" i="13" a="1"/>
  <c r="X124" i="13" s="1"/>
  <c r="AB124" i="13"/>
  <c r="AC124" i="13"/>
  <c r="AD124" i="13"/>
  <c r="AE124" i="13"/>
  <c r="AF124" i="13"/>
  <c r="AG124" i="13"/>
  <c r="AH124" i="13"/>
  <c r="AK124" i="13" a="1"/>
  <c r="AK124" i="13" s="1"/>
  <c r="D125" i="13"/>
  <c r="E125" i="13"/>
  <c r="F125" i="13"/>
  <c r="G125" i="13"/>
  <c r="H125" i="13"/>
  <c r="J125" i="13"/>
  <c r="N125" i="13" a="1"/>
  <c r="N125" i="13" s="1"/>
  <c r="O125" i="13" a="1"/>
  <c r="O125" i="13" s="1"/>
  <c r="P125" i="13" a="1"/>
  <c r="P125" i="13" s="1"/>
  <c r="Q125" i="13"/>
  <c r="R125" i="13"/>
  <c r="T125" i="13" a="1"/>
  <c r="T125" i="13" s="1"/>
  <c r="U125" i="13" a="1"/>
  <c r="U125" i="13" s="1"/>
  <c r="V125" i="13" a="1"/>
  <c r="V125" i="13" s="1"/>
  <c r="X125" i="13" a="1"/>
  <c r="X125" i="13" s="1"/>
  <c r="AB125" i="13"/>
  <c r="AC125" i="13"/>
  <c r="AD125" i="13"/>
  <c r="AE125" i="13"/>
  <c r="AF125" i="13"/>
  <c r="AG125" i="13"/>
  <c r="AH125" i="13"/>
  <c r="AK125" i="13" a="1"/>
  <c r="AK125" i="13" s="1"/>
  <c r="D126" i="13"/>
  <c r="E126" i="13"/>
  <c r="F126" i="13"/>
  <c r="G126" i="13"/>
  <c r="H126" i="13"/>
  <c r="J126" i="13"/>
  <c r="N126" i="13" a="1"/>
  <c r="N126" i="13" s="1"/>
  <c r="O126" i="13" a="1"/>
  <c r="O126" i="13" s="1"/>
  <c r="P126" i="13" a="1"/>
  <c r="P126" i="13" s="1"/>
  <c r="Q126" i="13"/>
  <c r="R126" i="13"/>
  <c r="T126" i="13" a="1"/>
  <c r="T126" i="13" s="1"/>
  <c r="U126" i="13" a="1"/>
  <c r="U126" i="13" s="1"/>
  <c r="V126" i="13" a="1"/>
  <c r="V126" i="13" s="1"/>
  <c r="X126" i="13" a="1"/>
  <c r="X126" i="13" s="1"/>
  <c r="AB126" i="13"/>
  <c r="AC126" i="13"/>
  <c r="AD126" i="13"/>
  <c r="AE126" i="13"/>
  <c r="AF126" i="13"/>
  <c r="AG126" i="13"/>
  <c r="AH126" i="13"/>
  <c r="AK126" i="13" a="1"/>
  <c r="AK126" i="13" s="1"/>
  <c r="D127" i="13"/>
  <c r="E127" i="13"/>
  <c r="F127" i="13"/>
  <c r="G127" i="13"/>
  <c r="H127" i="13"/>
  <c r="J127" i="13"/>
  <c r="N127" i="13" a="1"/>
  <c r="N127" i="13" s="1"/>
  <c r="O127" i="13" a="1"/>
  <c r="O127" i="13" s="1"/>
  <c r="P127" i="13" a="1"/>
  <c r="P127" i="13" s="1"/>
  <c r="Q127" i="13"/>
  <c r="R127" i="13"/>
  <c r="T127" i="13" a="1"/>
  <c r="T127" i="13" s="1"/>
  <c r="U127" i="13" a="1"/>
  <c r="U127" i="13" s="1"/>
  <c r="V127" i="13" a="1"/>
  <c r="V127" i="13" s="1"/>
  <c r="X127" i="13" a="1"/>
  <c r="X127" i="13" s="1"/>
  <c r="AB127" i="13"/>
  <c r="AC127" i="13"/>
  <c r="AD127" i="13"/>
  <c r="AE127" i="13"/>
  <c r="AF127" i="13"/>
  <c r="AG127" i="13"/>
  <c r="AH127" i="13"/>
  <c r="AK127" i="13" a="1"/>
  <c r="AK127" i="13" s="1"/>
  <c r="D128" i="13"/>
  <c r="E128" i="13"/>
  <c r="F128" i="13"/>
  <c r="G128" i="13"/>
  <c r="H128" i="13"/>
  <c r="J128" i="13"/>
  <c r="N128" i="13" a="1"/>
  <c r="N128" i="13" s="1"/>
  <c r="O128" i="13" a="1"/>
  <c r="O128" i="13" s="1"/>
  <c r="P128" i="13" a="1"/>
  <c r="P128" i="13" s="1"/>
  <c r="Q128" i="13"/>
  <c r="R128" i="13"/>
  <c r="T128" i="13" a="1"/>
  <c r="T128" i="13" s="1"/>
  <c r="U128" i="13" a="1"/>
  <c r="U128" i="13" s="1"/>
  <c r="V128" i="13" a="1"/>
  <c r="V128" i="13" s="1"/>
  <c r="X128" i="13" a="1"/>
  <c r="X128" i="13" s="1"/>
  <c r="AB128" i="13"/>
  <c r="AC128" i="13"/>
  <c r="AD128" i="13"/>
  <c r="AE128" i="13"/>
  <c r="AF128" i="13"/>
  <c r="AG128" i="13"/>
  <c r="AH128" i="13"/>
  <c r="AK128" i="13" a="1"/>
  <c r="AK128" i="13" s="1"/>
  <c r="D129" i="13"/>
  <c r="E129" i="13"/>
  <c r="F129" i="13"/>
  <c r="G129" i="13"/>
  <c r="H129" i="13"/>
  <c r="J129" i="13"/>
  <c r="N129" i="13" a="1"/>
  <c r="N129" i="13" s="1"/>
  <c r="O129" i="13" a="1"/>
  <c r="O129" i="13" s="1"/>
  <c r="P129" i="13" a="1"/>
  <c r="P129" i="13" s="1"/>
  <c r="Q129" i="13"/>
  <c r="R129" i="13"/>
  <c r="T129" i="13" a="1"/>
  <c r="T129" i="13" s="1"/>
  <c r="U129" i="13" a="1"/>
  <c r="U129" i="13" s="1"/>
  <c r="V129" i="13" a="1"/>
  <c r="V129" i="13" s="1"/>
  <c r="X129" i="13" a="1"/>
  <c r="X129" i="13" s="1"/>
  <c r="AB129" i="13"/>
  <c r="AC129" i="13"/>
  <c r="AD129" i="13"/>
  <c r="AE129" i="13"/>
  <c r="AF129" i="13"/>
  <c r="AG129" i="13"/>
  <c r="AH129" i="13"/>
  <c r="AK129" i="13" a="1"/>
  <c r="AK129" i="13" s="1"/>
  <c r="D130" i="13"/>
  <c r="E130" i="13"/>
  <c r="F130" i="13"/>
  <c r="G130" i="13"/>
  <c r="H130" i="13"/>
  <c r="J130" i="13"/>
  <c r="N130" i="13" a="1"/>
  <c r="N130" i="13" s="1"/>
  <c r="O130" i="13" a="1"/>
  <c r="O130" i="13" s="1"/>
  <c r="P130" i="13" a="1"/>
  <c r="P130" i="13" s="1"/>
  <c r="Q130" i="13"/>
  <c r="R130" i="13"/>
  <c r="T130" i="13" a="1"/>
  <c r="T130" i="13" s="1"/>
  <c r="U130" i="13" a="1"/>
  <c r="U130" i="13" s="1"/>
  <c r="V130" i="13" a="1"/>
  <c r="V130" i="13" s="1"/>
  <c r="X130" i="13" a="1"/>
  <c r="X130" i="13" s="1"/>
  <c r="AB130" i="13"/>
  <c r="AC130" i="13"/>
  <c r="AD130" i="13"/>
  <c r="AE130" i="13"/>
  <c r="AF130" i="13"/>
  <c r="AG130" i="13"/>
  <c r="AH130" i="13"/>
  <c r="AK130" i="13" a="1"/>
  <c r="AK130" i="13" s="1"/>
  <c r="D131" i="13"/>
  <c r="E131" i="13"/>
  <c r="F131" i="13"/>
  <c r="G131" i="13"/>
  <c r="H131" i="13"/>
  <c r="J131" i="13"/>
  <c r="N131" i="13" a="1"/>
  <c r="N131" i="13" s="1"/>
  <c r="O131" i="13" a="1"/>
  <c r="O131" i="13" s="1"/>
  <c r="P131" i="13" a="1"/>
  <c r="P131" i="13" s="1"/>
  <c r="Q131" i="13"/>
  <c r="R131" i="13"/>
  <c r="T131" i="13" a="1"/>
  <c r="T131" i="13" s="1"/>
  <c r="U131" i="13" a="1"/>
  <c r="U131" i="13" s="1"/>
  <c r="V131" i="13" a="1"/>
  <c r="V131" i="13" s="1"/>
  <c r="X131" i="13" a="1"/>
  <c r="X131" i="13" s="1"/>
  <c r="AB131" i="13"/>
  <c r="AC131" i="13"/>
  <c r="AD131" i="13"/>
  <c r="AE131" i="13"/>
  <c r="AF131" i="13"/>
  <c r="AG131" i="13"/>
  <c r="AH131" i="13"/>
  <c r="AK131" i="13" a="1"/>
  <c r="AK131" i="13" s="1"/>
  <c r="D132" i="13"/>
  <c r="E132" i="13"/>
  <c r="F132" i="13"/>
  <c r="G132" i="13"/>
  <c r="H132" i="13"/>
  <c r="J132" i="13"/>
  <c r="N132" i="13" a="1"/>
  <c r="N132" i="13" s="1"/>
  <c r="O132" i="13" a="1"/>
  <c r="O132" i="13" s="1"/>
  <c r="P132" i="13" a="1"/>
  <c r="P132" i="13" s="1"/>
  <c r="Q132" i="13"/>
  <c r="R132" i="13"/>
  <c r="T132" i="13" a="1"/>
  <c r="T132" i="13" s="1"/>
  <c r="U132" i="13" a="1"/>
  <c r="U132" i="13" s="1"/>
  <c r="V132" i="13" a="1"/>
  <c r="V132" i="13" s="1"/>
  <c r="X132" i="13" a="1"/>
  <c r="X132" i="13" s="1"/>
  <c r="AB132" i="13"/>
  <c r="AC132" i="13"/>
  <c r="AD132" i="13"/>
  <c r="AE132" i="13"/>
  <c r="AF132" i="13"/>
  <c r="AG132" i="13"/>
  <c r="AH132" i="13"/>
  <c r="AK132" i="13" a="1"/>
  <c r="AK132" i="13" s="1"/>
  <c r="D133" i="13"/>
  <c r="E133" i="13"/>
  <c r="F133" i="13"/>
  <c r="G133" i="13"/>
  <c r="H133" i="13"/>
  <c r="J133" i="13"/>
  <c r="N133" i="13" a="1"/>
  <c r="N133" i="13" s="1"/>
  <c r="O133" i="13" a="1"/>
  <c r="O133" i="13" s="1"/>
  <c r="P133" i="13" a="1"/>
  <c r="P133" i="13" s="1"/>
  <c r="Q133" i="13"/>
  <c r="R133" i="13"/>
  <c r="T133" i="13" a="1"/>
  <c r="T133" i="13" s="1"/>
  <c r="U133" i="13" a="1"/>
  <c r="U133" i="13" s="1"/>
  <c r="V133" i="13" a="1"/>
  <c r="V133" i="13" s="1"/>
  <c r="X133" i="13" a="1"/>
  <c r="X133" i="13" s="1"/>
  <c r="AB133" i="13"/>
  <c r="AC133" i="13"/>
  <c r="AD133" i="13"/>
  <c r="AE133" i="13"/>
  <c r="AF133" i="13"/>
  <c r="AG133" i="13"/>
  <c r="AH133" i="13"/>
  <c r="AK133" i="13" a="1"/>
  <c r="AK133" i="13" s="1"/>
  <c r="D134" i="13"/>
  <c r="E134" i="13"/>
  <c r="F134" i="13"/>
  <c r="G134" i="13"/>
  <c r="H134" i="13"/>
  <c r="J134" i="13"/>
  <c r="N134" i="13" a="1"/>
  <c r="N134" i="13" s="1"/>
  <c r="O134" i="13" a="1"/>
  <c r="O134" i="13" s="1"/>
  <c r="P134" i="13" a="1"/>
  <c r="P134" i="13" s="1"/>
  <c r="Q134" i="13"/>
  <c r="R134" i="13"/>
  <c r="T134" i="13" a="1"/>
  <c r="T134" i="13" s="1"/>
  <c r="U134" i="13" a="1"/>
  <c r="U134" i="13" s="1"/>
  <c r="V134" i="13" a="1"/>
  <c r="V134" i="13" s="1"/>
  <c r="X134" i="13" a="1"/>
  <c r="X134" i="13" s="1"/>
  <c r="AB134" i="13"/>
  <c r="AC134" i="13"/>
  <c r="AD134" i="13"/>
  <c r="AE134" i="13"/>
  <c r="AF134" i="13"/>
  <c r="AG134" i="13"/>
  <c r="AH134" i="13"/>
  <c r="AK134" i="13" a="1"/>
  <c r="AK134" i="13" s="1"/>
  <c r="D135" i="13"/>
  <c r="E135" i="13"/>
  <c r="F135" i="13"/>
  <c r="G135" i="13"/>
  <c r="H135" i="13"/>
  <c r="J135" i="13"/>
  <c r="N135" i="13" a="1"/>
  <c r="N135" i="13" s="1"/>
  <c r="O135" i="13" a="1"/>
  <c r="O135" i="13" s="1"/>
  <c r="P135" i="13" a="1"/>
  <c r="P135" i="13" s="1"/>
  <c r="Q135" i="13"/>
  <c r="R135" i="13"/>
  <c r="T135" i="13" a="1"/>
  <c r="T135" i="13" s="1"/>
  <c r="U135" i="13" a="1"/>
  <c r="U135" i="13" s="1"/>
  <c r="V135" i="13" a="1"/>
  <c r="V135" i="13" s="1"/>
  <c r="X135" i="13" a="1"/>
  <c r="X135" i="13" s="1"/>
  <c r="AB135" i="13"/>
  <c r="AC135" i="13"/>
  <c r="AD135" i="13"/>
  <c r="AE135" i="13"/>
  <c r="AF135" i="13"/>
  <c r="AG135" i="13"/>
  <c r="AH135" i="13"/>
  <c r="AK135" i="13" a="1"/>
  <c r="AK135" i="13" s="1"/>
  <c r="D136" i="13"/>
  <c r="E136" i="13"/>
  <c r="F136" i="13"/>
  <c r="G136" i="13"/>
  <c r="H136" i="13"/>
  <c r="J136" i="13"/>
  <c r="N136" i="13" a="1"/>
  <c r="N136" i="13" s="1"/>
  <c r="O136" i="13" a="1"/>
  <c r="O136" i="13" s="1"/>
  <c r="P136" i="13" a="1"/>
  <c r="P136" i="13" s="1"/>
  <c r="Q136" i="13"/>
  <c r="R136" i="13"/>
  <c r="T136" i="13" a="1"/>
  <c r="T136" i="13" s="1"/>
  <c r="U136" i="13" a="1"/>
  <c r="U136" i="13" s="1"/>
  <c r="V136" i="13" a="1"/>
  <c r="V136" i="13" s="1"/>
  <c r="X136" i="13" a="1"/>
  <c r="X136" i="13" s="1"/>
  <c r="AB136" i="13"/>
  <c r="AC136" i="13"/>
  <c r="AD136" i="13"/>
  <c r="AE136" i="13"/>
  <c r="AF136" i="13"/>
  <c r="AG136" i="13"/>
  <c r="AH136" i="13"/>
  <c r="AK136" i="13" a="1"/>
  <c r="AK136" i="13" s="1"/>
  <c r="D137" i="13"/>
  <c r="E137" i="13"/>
  <c r="F137" i="13"/>
  <c r="G137" i="13"/>
  <c r="H137" i="13"/>
  <c r="J137" i="13"/>
  <c r="N137" i="13" a="1"/>
  <c r="N137" i="13" s="1"/>
  <c r="O137" i="13" a="1"/>
  <c r="O137" i="13" s="1"/>
  <c r="P137" i="13" a="1"/>
  <c r="P137" i="13" s="1"/>
  <c r="Q137" i="13"/>
  <c r="R137" i="13"/>
  <c r="T137" i="13" a="1"/>
  <c r="T137" i="13" s="1"/>
  <c r="U137" i="13" a="1"/>
  <c r="U137" i="13" s="1"/>
  <c r="V137" i="13" a="1"/>
  <c r="V137" i="13" s="1"/>
  <c r="X137" i="13" a="1"/>
  <c r="X137" i="13" s="1"/>
  <c r="AB137" i="13"/>
  <c r="AC137" i="13"/>
  <c r="AD137" i="13"/>
  <c r="AE137" i="13"/>
  <c r="AF137" i="13"/>
  <c r="AG137" i="13"/>
  <c r="AH137" i="13"/>
  <c r="AK137" i="13" a="1"/>
  <c r="AK137" i="13" s="1"/>
  <c r="D138" i="13"/>
  <c r="E138" i="13"/>
  <c r="F138" i="13"/>
  <c r="G138" i="13"/>
  <c r="H138" i="13"/>
  <c r="J138" i="13"/>
  <c r="N138" i="13" a="1"/>
  <c r="N138" i="13" s="1"/>
  <c r="O138" i="13" a="1"/>
  <c r="O138" i="13" s="1"/>
  <c r="P138" i="13" a="1"/>
  <c r="P138" i="13" s="1"/>
  <c r="Q138" i="13"/>
  <c r="R138" i="13"/>
  <c r="T138" i="13" a="1"/>
  <c r="T138" i="13" s="1"/>
  <c r="U138" i="13" a="1"/>
  <c r="U138" i="13" s="1"/>
  <c r="V138" i="13" a="1"/>
  <c r="V138" i="13" s="1"/>
  <c r="X138" i="13" a="1"/>
  <c r="X138" i="13" s="1"/>
  <c r="AB138" i="13"/>
  <c r="AC138" i="13"/>
  <c r="AD138" i="13"/>
  <c r="AE138" i="13"/>
  <c r="AF138" i="13"/>
  <c r="AG138" i="13"/>
  <c r="AH138" i="13"/>
  <c r="AK138" i="13" a="1"/>
  <c r="AK138" i="13" s="1"/>
  <c r="D139" i="13"/>
  <c r="E139" i="13"/>
  <c r="F139" i="13"/>
  <c r="G139" i="13"/>
  <c r="H139" i="13"/>
  <c r="J139" i="13"/>
  <c r="N139" i="13" a="1"/>
  <c r="N139" i="13" s="1"/>
  <c r="O139" i="13" a="1"/>
  <c r="O139" i="13" s="1"/>
  <c r="P139" i="13" a="1"/>
  <c r="P139" i="13" s="1"/>
  <c r="Q139" i="13"/>
  <c r="R139" i="13"/>
  <c r="T139" i="13" a="1"/>
  <c r="T139" i="13" s="1"/>
  <c r="U139" i="13" a="1"/>
  <c r="U139" i="13" s="1"/>
  <c r="V139" i="13" a="1"/>
  <c r="V139" i="13" s="1"/>
  <c r="X139" i="13" a="1"/>
  <c r="X139" i="13" s="1"/>
  <c r="AB139" i="13"/>
  <c r="AC139" i="13"/>
  <c r="AD139" i="13"/>
  <c r="AE139" i="13"/>
  <c r="AF139" i="13"/>
  <c r="AG139" i="13"/>
  <c r="AH139" i="13"/>
  <c r="AK139" i="13" a="1"/>
  <c r="AK139" i="13" s="1"/>
  <c r="D140" i="13"/>
  <c r="E140" i="13"/>
  <c r="F140" i="13"/>
  <c r="G140" i="13"/>
  <c r="H140" i="13"/>
  <c r="J140" i="13"/>
  <c r="N140" i="13" a="1"/>
  <c r="N140" i="13" s="1"/>
  <c r="O140" i="13" a="1"/>
  <c r="O140" i="13" s="1"/>
  <c r="P140" i="13" a="1"/>
  <c r="P140" i="13" s="1"/>
  <c r="Q140" i="13"/>
  <c r="R140" i="13"/>
  <c r="T140" i="13" a="1"/>
  <c r="T140" i="13" s="1"/>
  <c r="U140" i="13" a="1"/>
  <c r="U140" i="13" s="1"/>
  <c r="V140" i="13" a="1"/>
  <c r="V140" i="13" s="1"/>
  <c r="X140" i="13" a="1"/>
  <c r="X140" i="13" s="1"/>
  <c r="AB140" i="13"/>
  <c r="AC140" i="13"/>
  <c r="AD140" i="13"/>
  <c r="AE140" i="13"/>
  <c r="AF140" i="13"/>
  <c r="AG140" i="13"/>
  <c r="AH140" i="13"/>
  <c r="AK140" i="13" a="1"/>
  <c r="AK140" i="13" s="1"/>
  <c r="D141" i="13"/>
  <c r="E141" i="13"/>
  <c r="F141" i="13"/>
  <c r="G141" i="13"/>
  <c r="H141" i="13"/>
  <c r="J141" i="13"/>
  <c r="N141" i="13" a="1"/>
  <c r="N141" i="13" s="1"/>
  <c r="O141" i="13" a="1"/>
  <c r="O141" i="13" s="1"/>
  <c r="P141" i="13" a="1"/>
  <c r="P141" i="13" s="1"/>
  <c r="Q141" i="13"/>
  <c r="R141" i="13"/>
  <c r="T141" i="13" a="1"/>
  <c r="T141" i="13" s="1"/>
  <c r="U141" i="13" a="1"/>
  <c r="U141" i="13" s="1"/>
  <c r="V141" i="13" a="1"/>
  <c r="V141" i="13" s="1"/>
  <c r="X141" i="13" a="1"/>
  <c r="X141" i="13" s="1"/>
  <c r="AB141" i="13"/>
  <c r="AC141" i="13"/>
  <c r="AD141" i="13"/>
  <c r="AE141" i="13"/>
  <c r="AF141" i="13"/>
  <c r="AG141" i="13"/>
  <c r="AH141" i="13"/>
  <c r="AK141" i="13" a="1"/>
  <c r="AK141" i="13" s="1"/>
  <c r="D142" i="13"/>
  <c r="E142" i="13"/>
  <c r="F142" i="13"/>
  <c r="G142" i="13"/>
  <c r="H142" i="13"/>
  <c r="J142" i="13"/>
  <c r="N142" i="13" a="1"/>
  <c r="N142" i="13" s="1"/>
  <c r="O142" i="13" a="1"/>
  <c r="O142" i="13" s="1"/>
  <c r="P142" i="13" a="1"/>
  <c r="P142" i="13" s="1"/>
  <c r="Q142" i="13"/>
  <c r="R142" i="13"/>
  <c r="T142" i="13" a="1"/>
  <c r="T142" i="13" s="1"/>
  <c r="U142" i="13" a="1"/>
  <c r="U142" i="13" s="1"/>
  <c r="V142" i="13" a="1"/>
  <c r="V142" i="13" s="1"/>
  <c r="X142" i="13" a="1"/>
  <c r="X142" i="13" s="1"/>
  <c r="AB142" i="13"/>
  <c r="AC142" i="13"/>
  <c r="AD142" i="13"/>
  <c r="AE142" i="13"/>
  <c r="AF142" i="13"/>
  <c r="AG142" i="13"/>
  <c r="AH142" i="13"/>
  <c r="AK142" i="13" a="1"/>
  <c r="AK142" i="13" s="1"/>
  <c r="D143" i="13"/>
  <c r="E143" i="13"/>
  <c r="F143" i="13"/>
  <c r="G143" i="13"/>
  <c r="H143" i="13"/>
  <c r="J143" i="13"/>
  <c r="N143" i="13" a="1"/>
  <c r="N143" i="13" s="1"/>
  <c r="O143" i="13" a="1"/>
  <c r="O143" i="13" s="1"/>
  <c r="P143" i="13" a="1"/>
  <c r="P143" i="13" s="1"/>
  <c r="Q143" i="13"/>
  <c r="R143" i="13"/>
  <c r="T143" i="13" a="1"/>
  <c r="T143" i="13" s="1"/>
  <c r="U143" i="13" a="1"/>
  <c r="U143" i="13" s="1"/>
  <c r="V143" i="13" a="1"/>
  <c r="V143" i="13" s="1"/>
  <c r="X143" i="13" a="1"/>
  <c r="X143" i="13" s="1"/>
  <c r="AB143" i="13"/>
  <c r="AC143" i="13"/>
  <c r="AD143" i="13"/>
  <c r="AE143" i="13"/>
  <c r="AF143" i="13"/>
  <c r="AG143" i="13"/>
  <c r="AH143" i="13"/>
  <c r="AK143" i="13" a="1"/>
  <c r="AK143" i="13" s="1"/>
  <c r="D144" i="13"/>
  <c r="E144" i="13"/>
  <c r="F144" i="13"/>
  <c r="G144" i="13"/>
  <c r="H144" i="13"/>
  <c r="J144" i="13"/>
  <c r="N144" i="13" a="1"/>
  <c r="N144" i="13" s="1"/>
  <c r="O144" i="13" a="1"/>
  <c r="O144" i="13" s="1"/>
  <c r="P144" i="13" a="1"/>
  <c r="P144" i="13" s="1"/>
  <c r="Q144" i="13"/>
  <c r="R144" i="13"/>
  <c r="T144" i="13" a="1"/>
  <c r="T144" i="13" s="1"/>
  <c r="U144" i="13" a="1"/>
  <c r="U144" i="13" s="1"/>
  <c r="V144" i="13" a="1"/>
  <c r="V144" i="13" s="1"/>
  <c r="X144" i="13" a="1"/>
  <c r="X144" i="13" s="1"/>
  <c r="AB144" i="13"/>
  <c r="AC144" i="13"/>
  <c r="AD144" i="13"/>
  <c r="AE144" i="13"/>
  <c r="AF144" i="13"/>
  <c r="AG144" i="13"/>
  <c r="AH144" i="13"/>
  <c r="AK144" i="13" a="1"/>
  <c r="AK144" i="13" s="1"/>
  <c r="D145" i="13"/>
  <c r="E145" i="13"/>
  <c r="F145" i="13"/>
  <c r="G145" i="13"/>
  <c r="H145" i="13"/>
  <c r="J145" i="13"/>
  <c r="N145" i="13" a="1"/>
  <c r="N145" i="13" s="1"/>
  <c r="O145" i="13" a="1"/>
  <c r="O145" i="13" s="1"/>
  <c r="P145" i="13" a="1"/>
  <c r="P145" i="13" s="1"/>
  <c r="Q145" i="13"/>
  <c r="R145" i="13"/>
  <c r="T145" i="13" a="1"/>
  <c r="T145" i="13" s="1"/>
  <c r="U145" i="13" a="1"/>
  <c r="U145" i="13" s="1"/>
  <c r="V145" i="13" a="1"/>
  <c r="V145" i="13" s="1"/>
  <c r="X145" i="13" a="1"/>
  <c r="X145" i="13" s="1"/>
  <c r="AB145" i="13"/>
  <c r="AC145" i="13"/>
  <c r="AD145" i="13"/>
  <c r="AE145" i="13"/>
  <c r="AF145" i="13"/>
  <c r="AG145" i="13"/>
  <c r="AH145" i="13"/>
  <c r="AK145" i="13" a="1"/>
  <c r="AK145" i="13" s="1"/>
  <c r="D146" i="13"/>
  <c r="E146" i="13"/>
  <c r="F146" i="13"/>
  <c r="G146" i="13"/>
  <c r="H146" i="13"/>
  <c r="J146" i="13"/>
  <c r="N146" i="13" a="1"/>
  <c r="N146" i="13" s="1"/>
  <c r="O146" i="13" a="1"/>
  <c r="O146" i="13" s="1"/>
  <c r="P146" i="13" a="1"/>
  <c r="P146" i="13" s="1"/>
  <c r="Q146" i="13"/>
  <c r="R146" i="13"/>
  <c r="T146" i="13" a="1"/>
  <c r="T146" i="13" s="1"/>
  <c r="U146" i="13" a="1"/>
  <c r="U146" i="13" s="1"/>
  <c r="V146" i="13" a="1"/>
  <c r="V146" i="13" s="1"/>
  <c r="X146" i="13" a="1"/>
  <c r="X146" i="13" s="1"/>
  <c r="AB146" i="13"/>
  <c r="AC146" i="13"/>
  <c r="AD146" i="13"/>
  <c r="AE146" i="13"/>
  <c r="AF146" i="13"/>
  <c r="AG146" i="13"/>
  <c r="AH146" i="13"/>
  <c r="AK146" i="13" a="1"/>
  <c r="AK146" i="13" s="1"/>
  <c r="D147" i="13"/>
  <c r="E147" i="13"/>
  <c r="F147" i="13"/>
  <c r="G147" i="13"/>
  <c r="H147" i="13"/>
  <c r="J147" i="13"/>
  <c r="N147" i="13" a="1"/>
  <c r="N147" i="13" s="1"/>
  <c r="O147" i="13" a="1"/>
  <c r="O147" i="13" s="1"/>
  <c r="P147" i="13" a="1"/>
  <c r="P147" i="13" s="1"/>
  <c r="Q147" i="13"/>
  <c r="R147" i="13"/>
  <c r="T147" i="13" a="1"/>
  <c r="T147" i="13" s="1"/>
  <c r="U147" i="13" a="1"/>
  <c r="U147" i="13" s="1"/>
  <c r="V147" i="13" a="1"/>
  <c r="V147" i="13" s="1"/>
  <c r="X147" i="13" a="1"/>
  <c r="X147" i="13" s="1"/>
  <c r="AB147" i="13"/>
  <c r="AC147" i="13"/>
  <c r="AD147" i="13"/>
  <c r="AE147" i="13"/>
  <c r="AF147" i="13"/>
  <c r="AG147" i="13"/>
  <c r="AH147" i="13"/>
  <c r="AK147" i="13" a="1"/>
  <c r="AK147" i="13" s="1"/>
  <c r="D148" i="13"/>
  <c r="E148" i="13"/>
  <c r="F148" i="13"/>
  <c r="G148" i="13"/>
  <c r="H148" i="13"/>
  <c r="J148" i="13"/>
  <c r="N148" i="13" a="1"/>
  <c r="N148" i="13" s="1"/>
  <c r="O148" i="13" a="1"/>
  <c r="O148" i="13" s="1"/>
  <c r="P148" i="13" a="1"/>
  <c r="P148" i="13" s="1"/>
  <c r="Q148" i="13"/>
  <c r="R148" i="13"/>
  <c r="T148" i="13" a="1"/>
  <c r="T148" i="13" s="1"/>
  <c r="U148" i="13" a="1"/>
  <c r="U148" i="13" s="1"/>
  <c r="V148" i="13" a="1"/>
  <c r="V148" i="13" s="1"/>
  <c r="X148" i="13" a="1"/>
  <c r="X148" i="13" s="1"/>
  <c r="AB148" i="13"/>
  <c r="AC148" i="13"/>
  <c r="AD148" i="13"/>
  <c r="AE148" i="13"/>
  <c r="AF148" i="13"/>
  <c r="AG148" i="13"/>
  <c r="AH148" i="13"/>
  <c r="AK148" i="13" a="1"/>
  <c r="AK148" i="13" s="1"/>
  <c r="D149" i="13"/>
  <c r="E149" i="13"/>
  <c r="F149" i="13"/>
  <c r="G149" i="13"/>
  <c r="H149" i="13"/>
  <c r="J149" i="13"/>
  <c r="N149" i="13" a="1"/>
  <c r="N149" i="13" s="1"/>
  <c r="O149" i="13" a="1"/>
  <c r="O149" i="13" s="1"/>
  <c r="P149" i="13" a="1"/>
  <c r="P149" i="13" s="1"/>
  <c r="Q149" i="13"/>
  <c r="R149" i="13"/>
  <c r="T149" i="13" a="1"/>
  <c r="T149" i="13" s="1"/>
  <c r="U149" i="13" a="1"/>
  <c r="U149" i="13" s="1"/>
  <c r="V149" i="13" a="1"/>
  <c r="V149" i="13" s="1"/>
  <c r="X149" i="13" a="1"/>
  <c r="X149" i="13" s="1"/>
  <c r="AB149" i="13"/>
  <c r="AC149" i="13"/>
  <c r="AD149" i="13"/>
  <c r="AE149" i="13"/>
  <c r="AF149" i="13"/>
  <c r="AG149" i="13"/>
  <c r="AH149" i="13"/>
  <c r="AK149" i="13" a="1"/>
  <c r="AK149" i="13" s="1"/>
  <c r="D150" i="13"/>
  <c r="E150" i="13"/>
  <c r="F150" i="13"/>
  <c r="G150" i="13"/>
  <c r="H150" i="13"/>
  <c r="J150" i="13"/>
  <c r="N150" i="13" a="1"/>
  <c r="N150" i="13" s="1"/>
  <c r="O150" i="13" a="1"/>
  <c r="O150" i="13" s="1"/>
  <c r="P150" i="13" a="1"/>
  <c r="P150" i="13" s="1"/>
  <c r="Q150" i="13"/>
  <c r="R150" i="13"/>
  <c r="T150" i="13" a="1"/>
  <c r="T150" i="13" s="1"/>
  <c r="U150" i="13" a="1"/>
  <c r="U150" i="13" s="1"/>
  <c r="V150" i="13" a="1"/>
  <c r="V150" i="13" s="1"/>
  <c r="X150" i="13" a="1"/>
  <c r="X150" i="13" s="1"/>
  <c r="AB150" i="13"/>
  <c r="AC150" i="13"/>
  <c r="AD150" i="13"/>
  <c r="AE150" i="13"/>
  <c r="AF150" i="13"/>
  <c r="AG150" i="13"/>
  <c r="AH150" i="13"/>
  <c r="AK150" i="13" a="1"/>
  <c r="AK150" i="13" s="1"/>
  <c r="D151" i="13"/>
  <c r="E151" i="13"/>
  <c r="F151" i="13"/>
  <c r="G151" i="13"/>
  <c r="H151" i="13"/>
  <c r="J151" i="13"/>
  <c r="N151" i="13" a="1"/>
  <c r="N151" i="13" s="1"/>
  <c r="O151" i="13" a="1"/>
  <c r="O151" i="13" s="1"/>
  <c r="P151" i="13" a="1"/>
  <c r="P151" i="13" s="1"/>
  <c r="Q151" i="13"/>
  <c r="R151" i="13"/>
  <c r="T151" i="13" a="1"/>
  <c r="T151" i="13" s="1"/>
  <c r="U151" i="13" a="1"/>
  <c r="U151" i="13" s="1"/>
  <c r="V151" i="13" a="1"/>
  <c r="V151" i="13" s="1"/>
  <c r="X151" i="13" a="1"/>
  <c r="X151" i="13" s="1"/>
  <c r="AB151" i="13"/>
  <c r="AC151" i="13"/>
  <c r="AD151" i="13"/>
  <c r="AE151" i="13"/>
  <c r="AF151" i="13"/>
  <c r="AG151" i="13"/>
  <c r="AH151" i="13"/>
  <c r="AK151" i="13" a="1"/>
  <c r="AK151" i="13" s="1"/>
  <c r="D152" i="13"/>
  <c r="E152" i="13"/>
  <c r="F152" i="13"/>
  <c r="G152" i="13"/>
  <c r="H152" i="13"/>
  <c r="J152" i="13"/>
  <c r="N152" i="13" a="1"/>
  <c r="N152" i="13" s="1"/>
  <c r="O152" i="13" a="1"/>
  <c r="O152" i="13" s="1"/>
  <c r="P152" i="13" a="1"/>
  <c r="P152" i="13" s="1"/>
  <c r="Q152" i="13"/>
  <c r="R152" i="13"/>
  <c r="T152" i="13" a="1"/>
  <c r="T152" i="13" s="1"/>
  <c r="U152" i="13" a="1"/>
  <c r="U152" i="13" s="1"/>
  <c r="V152" i="13" a="1"/>
  <c r="V152" i="13" s="1"/>
  <c r="X152" i="13" a="1"/>
  <c r="X152" i="13" s="1"/>
  <c r="AB152" i="13"/>
  <c r="AC152" i="13"/>
  <c r="AD152" i="13"/>
  <c r="AE152" i="13"/>
  <c r="AF152" i="13"/>
  <c r="AG152" i="13"/>
  <c r="AH152" i="13"/>
  <c r="AK152" i="13" a="1"/>
  <c r="AK152" i="13" s="1"/>
  <c r="D153" i="13"/>
  <c r="E153" i="13"/>
  <c r="F153" i="13"/>
  <c r="G153" i="13"/>
  <c r="H153" i="13"/>
  <c r="J153" i="13"/>
  <c r="N153" i="13" a="1"/>
  <c r="N153" i="13" s="1"/>
  <c r="O153" i="13" a="1"/>
  <c r="O153" i="13" s="1"/>
  <c r="P153" i="13" a="1"/>
  <c r="P153" i="13" s="1"/>
  <c r="Q153" i="13"/>
  <c r="R153" i="13"/>
  <c r="T153" i="13" a="1"/>
  <c r="T153" i="13" s="1"/>
  <c r="U153" i="13" a="1"/>
  <c r="U153" i="13" s="1"/>
  <c r="V153" i="13" a="1"/>
  <c r="V153" i="13" s="1"/>
  <c r="X153" i="13" a="1"/>
  <c r="X153" i="13" s="1"/>
  <c r="AB153" i="13"/>
  <c r="AC153" i="13"/>
  <c r="AD153" i="13"/>
  <c r="AE153" i="13"/>
  <c r="AF153" i="13"/>
  <c r="AG153" i="13"/>
  <c r="AH153" i="13"/>
  <c r="AK153" i="13" a="1"/>
  <c r="AK153" i="13" s="1"/>
  <c r="D104" i="13"/>
  <c r="E104" i="13"/>
  <c r="F104" i="13"/>
  <c r="H104" i="13"/>
  <c r="J104" i="13"/>
  <c r="N104" i="13" a="1"/>
  <c r="N104" i="13" s="1"/>
  <c r="O104" i="13" a="1"/>
  <c r="O104" i="13" s="1"/>
  <c r="T104" i="13" a="1"/>
  <c r="T104" i="13" s="1"/>
  <c r="U104" i="13" a="1"/>
  <c r="U104" i="13" s="1"/>
  <c r="AD104" i="13"/>
  <c r="AE104" i="13"/>
  <c r="AF104" i="13"/>
  <c r="D105" i="13"/>
  <c r="E105" i="13"/>
  <c r="F105" i="13"/>
  <c r="H105" i="13"/>
  <c r="P105" i="13" s="1" a="1"/>
  <c r="P105" i="13" s="1"/>
  <c r="J105" i="13"/>
  <c r="N105" i="13" a="1"/>
  <c r="N105" i="13" s="1"/>
  <c r="O105" i="13" a="1"/>
  <c r="O105" i="13" s="1"/>
  <c r="Q105" i="13"/>
  <c r="R105" i="13"/>
  <c r="T105" i="13" a="1"/>
  <c r="T105" i="13" s="1"/>
  <c r="U105" i="13" a="1"/>
  <c r="U105" i="13" s="1"/>
  <c r="AD105" i="13"/>
  <c r="AE105" i="13"/>
  <c r="AF105" i="13"/>
  <c r="D106" i="13"/>
  <c r="E106" i="13"/>
  <c r="F106" i="13"/>
  <c r="H106" i="13"/>
  <c r="J106" i="13"/>
  <c r="N106" i="13" a="1"/>
  <c r="N106" i="13" s="1"/>
  <c r="O106" i="13" a="1"/>
  <c r="O106" i="13" s="1"/>
  <c r="Q106" i="13"/>
  <c r="R106" i="13"/>
  <c r="T106" i="13" a="1"/>
  <c r="T106" i="13" s="1"/>
  <c r="U106" i="13" a="1"/>
  <c r="U106" i="13" s="1"/>
  <c r="AD106" i="13"/>
  <c r="AE106" i="13"/>
  <c r="AF106" i="13"/>
  <c r="D107" i="13"/>
  <c r="E107" i="13"/>
  <c r="F107" i="13"/>
  <c r="H107" i="13"/>
  <c r="J107" i="13"/>
  <c r="N107" i="13" a="1"/>
  <c r="N107" i="13" s="1"/>
  <c r="O107" i="13" a="1"/>
  <c r="O107" i="13" s="1"/>
  <c r="Q107" i="13"/>
  <c r="R107" i="13"/>
  <c r="T107" i="13" a="1"/>
  <c r="T107" i="13" s="1"/>
  <c r="U107" i="13" a="1"/>
  <c r="U107" i="13" s="1"/>
  <c r="AD107" i="13"/>
  <c r="AE107" i="13"/>
  <c r="AF107" i="13"/>
  <c r="D108" i="13"/>
  <c r="E108" i="13"/>
  <c r="F108" i="13"/>
  <c r="H108" i="13"/>
  <c r="P108" i="13" s="1" a="1"/>
  <c r="P108" i="13" s="1"/>
  <c r="J108" i="13"/>
  <c r="N108" i="13" a="1"/>
  <c r="N108" i="13" s="1"/>
  <c r="O108" i="13" a="1"/>
  <c r="O108" i="13" s="1"/>
  <c r="Q108" i="13"/>
  <c r="R108" i="13"/>
  <c r="T108" i="13" a="1"/>
  <c r="T108" i="13" s="1"/>
  <c r="U108" i="13" a="1"/>
  <c r="U108" i="13" s="1"/>
  <c r="AD108" i="13"/>
  <c r="AE108" i="13"/>
  <c r="AF108" i="13"/>
  <c r="D109" i="13"/>
  <c r="E109" i="13"/>
  <c r="F109" i="13"/>
  <c r="H109" i="13"/>
  <c r="P109" i="13" s="1" a="1"/>
  <c r="P109" i="13" s="1"/>
  <c r="J109" i="13"/>
  <c r="N109" i="13" a="1"/>
  <c r="N109" i="13" s="1"/>
  <c r="O109" i="13" a="1"/>
  <c r="O109" i="13" s="1"/>
  <c r="Q109" i="13"/>
  <c r="R109" i="13"/>
  <c r="T109" i="13" a="1"/>
  <c r="T109" i="13" s="1"/>
  <c r="U109" i="13" a="1"/>
  <c r="U109" i="13" s="1"/>
  <c r="AD109" i="13"/>
  <c r="AE109" i="13"/>
  <c r="AF109" i="13"/>
  <c r="D110" i="13"/>
  <c r="E110" i="13"/>
  <c r="F110" i="13"/>
  <c r="H110" i="13"/>
  <c r="P110" i="13" s="1" a="1"/>
  <c r="P110" i="13" s="1"/>
  <c r="J110" i="13"/>
  <c r="N110" i="13" a="1"/>
  <c r="N110" i="13" s="1"/>
  <c r="O110" i="13" a="1"/>
  <c r="O110" i="13" s="1"/>
  <c r="Q110" i="13"/>
  <c r="R110" i="13"/>
  <c r="T110" i="13" a="1"/>
  <c r="T110" i="13" s="1"/>
  <c r="U110" i="13" a="1"/>
  <c r="U110" i="13" s="1"/>
  <c r="AD110" i="13"/>
  <c r="AE110" i="13"/>
  <c r="AF110" i="13"/>
  <c r="D111" i="13"/>
  <c r="E111" i="13"/>
  <c r="F111" i="13"/>
  <c r="H111" i="13"/>
  <c r="P111" i="13" s="1" a="1"/>
  <c r="P111" i="13" s="1"/>
  <c r="J111" i="13"/>
  <c r="N111" i="13" a="1"/>
  <c r="N111" i="13" s="1"/>
  <c r="O111" i="13" a="1"/>
  <c r="O111" i="13" s="1"/>
  <c r="Q111" i="13"/>
  <c r="R111" i="13"/>
  <c r="T111" i="13" a="1"/>
  <c r="T111" i="13" s="1"/>
  <c r="U111" i="13" a="1"/>
  <c r="U111" i="13" s="1"/>
  <c r="AD111" i="13"/>
  <c r="AE111" i="13"/>
  <c r="AF111" i="13"/>
  <c r="D112" i="13"/>
  <c r="E112" i="13"/>
  <c r="F112" i="13"/>
  <c r="H112" i="13"/>
  <c r="J112" i="13"/>
  <c r="N112" i="13" a="1"/>
  <c r="N112" i="13" s="1"/>
  <c r="O112" i="13" a="1"/>
  <c r="O112" i="13" s="1"/>
  <c r="Q112" i="13"/>
  <c r="R112" i="13"/>
  <c r="T112" i="13" a="1"/>
  <c r="T112" i="13" s="1"/>
  <c r="U112" i="13" a="1"/>
  <c r="U112" i="13" s="1"/>
  <c r="AD112" i="13"/>
  <c r="AE112" i="13"/>
  <c r="AF112" i="13"/>
  <c r="D113" i="13"/>
  <c r="E113" i="13"/>
  <c r="F113" i="13"/>
  <c r="H113" i="13"/>
  <c r="P113" i="13" s="1" a="1"/>
  <c r="P113" i="13" s="1"/>
  <c r="J113" i="13"/>
  <c r="N113" i="13" a="1"/>
  <c r="N113" i="13" s="1"/>
  <c r="O113" i="13" a="1"/>
  <c r="O113" i="13" s="1"/>
  <c r="Q113" i="13"/>
  <c r="R113" i="13"/>
  <c r="T113" i="13" a="1"/>
  <c r="T113" i="13" s="1"/>
  <c r="U113" i="13" a="1"/>
  <c r="U113" i="13" s="1"/>
  <c r="AD113" i="13"/>
  <c r="AE113" i="13"/>
  <c r="AF113" i="13"/>
  <c r="D114" i="13"/>
  <c r="E114" i="13"/>
  <c r="F114" i="13"/>
  <c r="G114" i="13"/>
  <c r="H114" i="13"/>
  <c r="J114" i="13"/>
  <c r="N114" i="13" a="1"/>
  <c r="N114" i="13" s="1"/>
  <c r="O114" i="13" a="1"/>
  <c r="O114" i="13" s="1"/>
  <c r="P114" i="13" a="1"/>
  <c r="P114" i="13" s="1"/>
  <c r="Q114" i="13"/>
  <c r="R114" i="13"/>
  <c r="T114" i="13" a="1"/>
  <c r="T114" i="13" s="1"/>
  <c r="U114" i="13" a="1"/>
  <c r="U114" i="13" s="1"/>
  <c r="V114" i="13" a="1"/>
  <c r="V114" i="13" s="1"/>
  <c r="X114" i="13" a="1"/>
  <c r="X114" i="13" s="1"/>
  <c r="AB114" i="13"/>
  <c r="AC114" i="13"/>
  <c r="AD114" i="13"/>
  <c r="AE114" i="13"/>
  <c r="AF114" i="13"/>
  <c r="AG114" i="13"/>
  <c r="AH114" i="13"/>
  <c r="AK114" i="13" a="1"/>
  <c r="AK114" i="13" s="1"/>
  <c r="D115" i="13"/>
  <c r="E115" i="13"/>
  <c r="F115" i="13"/>
  <c r="G115" i="13"/>
  <c r="H115" i="13"/>
  <c r="J115" i="13"/>
  <c r="N115" i="13" a="1"/>
  <c r="N115" i="13" s="1"/>
  <c r="O115" i="13" a="1"/>
  <c r="O115" i="13" s="1"/>
  <c r="P115" i="13" a="1"/>
  <c r="P115" i="13" s="1"/>
  <c r="Q115" i="13"/>
  <c r="R115" i="13"/>
  <c r="T115" i="13" a="1"/>
  <c r="T115" i="13" s="1"/>
  <c r="U115" i="13" a="1"/>
  <c r="U115" i="13" s="1"/>
  <c r="V115" i="13" a="1"/>
  <c r="V115" i="13" s="1"/>
  <c r="X115" i="13" a="1"/>
  <c r="X115" i="13" s="1"/>
  <c r="AB115" i="13"/>
  <c r="AC115" i="13"/>
  <c r="AD115" i="13"/>
  <c r="AE115" i="13"/>
  <c r="AF115" i="13"/>
  <c r="AG115" i="13"/>
  <c r="AH115" i="13"/>
  <c r="AK115" i="13" a="1"/>
  <c r="AK115" i="13" s="1"/>
  <c r="D116" i="13"/>
  <c r="E116" i="13"/>
  <c r="F116" i="13"/>
  <c r="G116" i="13"/>
  <c r="H116" i="13"/>
  <c r="J116" i="13"/>
  <c r="N116" i="13" a="1"/>
  <c r="N116" i="13" s="1"/>
  <c r="O116" i="13" a="1"/>
  <c r="O116" i="13" s="1"/>
  <c r="P116" i="13" a="1"/>
  <c r="P116" i="13" s="1"/>
  <c r="Q116" i="13"/>
  <c r="R116" i="13"/>
  <c r="T116" i="13" a="1"/>
  <c r="T116" i="13" s="1"/>
  <c r="U116" i="13" a="1"/>
  <c r="U116" i="13" s="1"/>
  <c r="V116" i="13" a="1"/>
  <c r="V116" i="13" s="1"/>
  <c r="X116" i="13" a="1"/>
  <c r="X116" i="13" s="1"/>
  <c r="AB116" i="13"/>
  <c r="AC116" i="13"/>
  <c r="AD116" i="13"/>
  <c r="AE116" i="13"/>
  <c r="AF116" i="13"/>
  <c r="AG116" i="13"/>
  <c r="AH116" i="13"/>
  <c r="AK116" i="13" a="1"/>
  <c r="AK116" i="13" s="1"/>
  <c r="D117" i="13"/>
  <c r="E117" i="13"/>
  <c r="F117" i="13"/>
  <c r="G117" i="13"/>
  <c r="H117" i="13"/>
  <c r="J117" i="13"/>
  <c r="N117" i="13" a="1"/>
  <c r="N117" i="13" s="1"/>
  <c r="O117" i="13" a="1"/>
  <c r="O117" i="13" s="1"/>
  <c r="P117" i="13" a="1"/>
  <c r="P117" i="13" s="1"/>
  <c r="Q117" i="13"/>
  <c r="R117" i="13"/>
  <c r="T117" i="13" a="1"/>
  <c r="T117" i="13" s="1"/>
  <c r="U117" i="13" a="1"/>
  <c r="U117" i="13" s="1"/>
  <c r="V117" i="13" a="1"/>
  <c r="V117" i="13" s="1"/>
  <c r="X117" i="13" a="1"/>
  <c r="X117" i="13" s="1"/>
  <c r="AB117" i="13"/>
  <c r="AC117" i="13"/>
  <c r="AD117" i="13"/>
  <c r="AE117" i="13"/>
  <c r="AF117" i="13"/>
  <c r="AG117" i="13"/>
  <c r="AH117" i="13"/>
  <c r="AK117" i="13" a="1"/>
  <c r="AK117" i="13" s="1"/>
  <c r="D118" i="13"/>
  <c r="E118" i="13"/>
  <c r="F118" i="13"/>
  <c r="G118" i="13"/>
  <c r="H118" i="13"/>
  <c r="J118" i="13"/>
  <c r="N118" i="13" a="1"/>
  <c r="N118" i="13" s="1"/>
  <c r="O118" i="13" a="1"/>
  <c r="O118" i="13" s="1"/>
  <c r="P118" i="13" a="1"/>
  <c r="P118" i="13" s="1"/>
  <c r="Q118" i="13"/>
  <c r="R118" i="13"/>
  <c r="T118" i="13" a="1"/>
  <c r="T118" i="13" s="1"/>
  <c r="U118" i="13" a="1"/>
  <c r="U118" i="13" s="1"/>
  <c r="V118" i="13" a="1"/>
  <c r="V118" i="13" s="1"/>
  <c r="X118" i="13" a="1"/>
  <c r="X118" i="13" s="1"/>
  <c r="AB118" i="13"/>
  <c r="AC118" i="13"/>
  <c r="AD118" i="13"/>
  <c r="AE118" i="13"/>
  <c r="AF118" i="13"/>
  <c r="AG118" i="13"/>
  <c r="AH118" i="13"/>
  <c r="AK118" i="13" a="1"/>
  <c r="AK118" i="13" s="1"/>
  <c r="D119" i="13"/>
  <c r="E119" i="13"/>
  <c r="F119" i="13"/>
  <c r="G119" i="13"/>
  <c r="H119" i="13"/>
  <c r="J119" i="13"/>
  <c r="N119" i="13" a="1"/>
  <c r="N119" i="13" s="1"/>
  <c r="O119" i="13" a="1"/>
  <c r="O119" i="13" s="1"/>
  <c r="P119" i="13" a="1"/>
  <c r="P119" i="13" s="1"/>
  <c r="Q119" i="13"/>
  <c r="R119" i="13"/>
  <c r="T119" i="13" a="1"/>
  <c r="T119" i="13" s="1"/>
  <c r="U119" i="13" a="1"/>
  <c r="U119" i="13" s="1"/>
  <c r="V119" i="13" a="1"/>
  <c r="V119" i="13" s="1"/>
  <c r="X119" i="13" a="1"/>
  <c r="X119" i="13" s="1"/>
  <c r="AB119" i="13"/>
  <c r="AC119" i="13"/>
  <c r="AD119" i="13"/>
  <c r="AE119" i="13"/>
  <c r="AF119" i="13"/>
  <c r="AG119" i="13"/>
  <c r="AH119" i="13"/>
  <c r="AK119" i="13" a="1"/>
  <c r="AK119" i="13" s="1"/>
  <c r="D120" i="13"/>
  <c r="E120" i="13"/>
  <c r="F120" i="13"/>
  <c r="G120" i="13"/>
  <c r="H120" i="13"/>
  <c r="J120" i="13"/>
  <c r="N120" i="13" a="1"/>
  <c r="N120" i="13" s="1"/>
  <c r="O120" i="13" a="1"/>
  <c r="O120" i="13" s="1"/>
  <c r="P120" i="13" a="1"/>
  <c r="P120" i="13" s="1"/>
  <c r="Q120" i="13"/>
  <c r="R120" i="13"/>
  <c r="T120" i="13" a="1"/>
  <c r="T120" i="13" s="1"/>
  <c r="U120" i="13" a="1"/>
  <c r="U120" i="13" s="1"/>
  <c r="V120" i="13" a="1"/>
  <c r="V120" i="13" s="1"/>
  <c r="X120" i="13" a="1"/>
  <c r="X120" i="13" s="1"/>
  <c r="AB120" i="13"/>
  <c r="AC120" i="13"/>
  <c r="AD120" i="13"/>
  <c r="AE120" i="13"/>
  <c r="AF120" i="13"/>
  <c r="AG120" i="13"/>
  <c r="AH120" i="13"/>
  <c r="AK120" i="13" a="1"/>
  <c r="AK120" i="13" s="1"/>
  <c r="D121" i="13"/>
  <c r="E121" i="13"/>
  <c r="F121" i="13"/>
  <c r="G121" i="13"/>
  <c r="H121" i="13"/>
  <c r="J121" i="13"/>
  <c r="N121" i="13" a="1"/>
  <c r="N121" i="13" s="1"/>
  <c r="O121" i="13" a="1"/>
  <c r="O121" i="13" s="1"/>
  <c r="P121" i="13" a="1"/>
  <c r="P121" i="13" s="1"/>
  <c r="Q121" i="13"/>
  <c r="R121" i="13"/>
  <c r="T121" i="13" a="1"/>
  <c r="T121" i="13" s="1"/>
  <c r="U121" i="13" a="1"/>
  <c r="U121" i="13" s="1"/>
  <c r="V121" i="13" a="1"/>
  <c r="V121" i="13" s="1"/>
  <c r="X121" i="13" a="1"/>
  <c r="X121" i="13" s="1"/>
  <c r="AB121" i="13"/>
  <c r="AC121" i="13"/>
  <c r="AD121" i="13"/>
  <c r="AE121" i="13"/>
  <c r="AF121" i="13"/>
  <c r="AG121" i="13"/>
  <c r="AH121" i="13"/>
  <c r="AK121" i="13" a="1"/>
  <c r="AK121" i="13" s="1"/>
  <c r="H54" i="13"/>
  <c r="P54" i="13" s="1"/>
  <c r="H55" i="13"/>
  <c r="H56" i="13"/>
  <c r="H57" i="13"/>
  <c r="H58" i="13"/>
  <c r="H59" i="13"/>
  <c r="H60" i="13"/>
  <c r="H61" i="13"/>
  <c r="H62" i="13"/>
  <c r="H63" i="13"/>
  <c r="H64" i="13"/>
  <c r="H65" i="13"/>
  <c r="H66" i="13"/>
  <c r="H67" i="13"/>
  <c r="H68" i="13"/>
  <c r="H69" i="13"/>
  <c r="H70" i="13"/>
  <c r="H71" i="13"/>
  <c r="H72" i="13"/>
  <c r="H73" i="13"/>
  <c r="H74" i="13"/>
  <c r="H75" i="13"/>
  <c r="H76" i="13"/>
  <c r="H77" i="13"/>
  <c r="H78" i="13"/>
  <c r="H79" i="13"/>
  <c r="H80" i="13"/>
  <c r="H81" i="13"/>
  <c r="H82" i="13"/>
  <c r="H83" i="13"/>
  <c r="H84" i="13"/>
  <c r="H85" i="13"/>
  <c r="H86" i="13"/>
  <c r="H87" i="13"/>
  <c r="H88" i="13"/>
  <c r="H89" i="13"/>
  <c r="H90" i="13"/>
  <c r="H91" i="13"/>
  <c r="H92" i="13"/>
  <c r="H93" i="13"/>
  <c r="H94" i="13"/>
  <c r="H95" i="13"/>
  <c r="H96" i="13"/>
  <c r="H97" i="13"/>
  <c r="H98" i="13"/>
  <c r="H99" i="13"/>
  <c r="H100" i="13"/>
  <c r="H101" i="13"/>
  <c r="H102" i="13"/>
  <c r="H103" i="13"/>
  <c r="J55" i="13"/>
  <c r="X55" i="13" s="1" a="1"/>
  <c r="X55" i="13" s="1"/>
  <c r="J56" i="13"/>
  <c r="J57" i="13"/>
  <c r="J58" i="13"/>
  <c r="J59" i="13"/>
  <c r="V113" i="13" s="1" a="1"/>
  <c r="V113" i="13" s="1"/>
  <c r="J60" i="13"/>
  <c r="J61" i="13"/>
  <c r="J62" i="13"/>
  <c r="J63" i="13"/>
  <c r="J64" i="13"/>
  <c r="N64" i="13" s="1" a="1"/>
  <c r="N64" i="13" s="1"/>
  <c r="J65" i="13"/>
  <c r="J66" i="13"/>
  <c r="J67" i="13"/>
  <c r="J68" i="13"/>
  <c r="J69" i="13"/>
  <c r="U69" i="13" s="1" a="1"/>
  <c r="U69" i="13" s="1"/>
  <c r="J70" i="13"/>
  <c r="U70" i="13" s="1" a="1"/>
  <c r="U70" i="13" s="1"/>
  <c r="J71" i="13"/>
  <c r="U71" i="13" s="1" a="1"/>
  <c r="U71" i="13" s="1"/>
  <c r="J72" i="13"/>
  <c r="J73" i="13"/>
  <c r="U73" i="13" s="1" a="1"/>
  <c r="U73" i="13" s="1"/>
  <c r="J74" i="13"/>
  <c r="U74" i="13" s="1" a="1"/>
  <c r="U74" i="13" s="1"/>
  <c r="J75" i="13"/>
  <c r="U75" i="13" s="1" a="1"/>
  <c r="U75" i="13" s="1"/>
  <c r="J76" i="13"/>
  <c r="U76" i="13" s="1" a="1"/>
  <c r="U76" i="13" s="1"/>
  <c r="J77" i="13"/>
  <c r="U77" i="13" s="1" a="1"/>
  <c r="U77" i="13" s="1"/>
  <c r="J78" i="13"/>
  <c r="U78" i="13" s="1" a="1"/>
  <c r="U78" i="13" s="1"/>
  <c r="J79" i="13"/>
  <c r="U79" i="13" s="1" a="1"/>
  <c r="U79" i="13" s="1"/>
  <c r="J80" i="13"/>
  <c r="U80" i="13" s="1" a="1"/>
  <c r="U80" i="13" s="1"/>
  <c r="J81" i="13"/>
  <c r="U81" i="13" s="1" a="1"/>
  <c r="U81" i="13" s="1"/>
  <c r="J82" i="13"/>
  <c r="U82" i="13" s="1" a="1"/>
  <c r="U82" i="13" s="1"/>
  <c r="J83" i="13"/>
  <c r="U83" i="13" s="1" a="1"/>
  <c r="U83" i="13" s="1"/>
  <c r="J84" i="13"/>
  <c r="J85" i="13"/>
  <c r="J86" i="13"/>
  <c r="J87" i="13"/>
  <c r="J88" i="13"/>
  <c r="J89" i="13"/>
  <c r="J90" i="13"/>
  <c r="J91" i="13"/>
  <c r="J92" i="13"/>
  <c r="J93" i="13"/>
  <c r="J94" i="13"/>
  <c r="J95" i="13"/>
  <c r="J96" i="13"/>
  <c r="J97" i="13"/>
  <c r="J98" i="13"/>
  <c r="J99" i="13"/>
  <c r="J100" i="13"/>
  <c r="J101" i="13"/>
  <c r="J102" i="13"/>
  <c r="J103" i="13"/>
  <c r="J54" i="13"/>
  <c r="P107" i="13" s="1" a="1"/>
  <c r="P107" i="13" s="1"/>
  <c r="AF55" i="13"/>
  <c r="AF56" i="13"/>
  <c r="AF57" i="13"/>
  <c r="AF58" i="13"/>
  <c r="AF59" i="13"/>
  <c r="AF60" i="13"/>
  <c r="AF61" i="13"/>
  <c r="AF62" i="13"/>
  <c r="AF63" i="13"/>
  <c r="AF64" i="13"/>
  <c r="AF65" i="13"/>
  <c r="AF66" i="13"/>
  <c r="AF67" i="13"/>
  <c r="AF68" i="13"/>
  <c r="AF69" i="13"/>
  <c r="AF70" i="13"/>
  <c r="AF71" i="13"/>
  <c r="AF72" i="13"/>
  <c r="AF73" i="13"/>
  <c r="AF74" i="13"/>
  <c r="AF75" i="13"/>
  <c r="AF76" i="13"/>
  <c r="AF77" i="13"/>
  <c r="AF78" i="13"/>
  <c r="AF79" i="13"/>
  <c r="AF80" i="13"/>
  <c r="AF81" i="13"/>
  <c r="AF82" i="13"/>
  <c r="AF83" i="13"/>
  <c r="AF84" i="13"/>
  <c r="AF85" i="13"/>
  <c r="AF86" i="13"/>
  <c r="AF87" i="13"/>
  <c r="AF88" i="13"/>
  <c r="AF89" i="13"/>
  <c r="AF90" i="13"/>
  <c r="AF91" i="13"/>
  <c r="AF92" i="13"/>
  <c r="AF93" i="13"/>
  <c r="AF94" i="13"/>
  <c r="AF95" i="13"/>
  <c r="AF96" i="13"/>
  <c r="AF97" i="13"/>
  <c r="AF98" i="13"/>
  <c r="AF99" i="13"/>
  <c r="AF100" i="13"/>
  <c r="AF101" i="13"/>
  <c r="AF102" i="13"/>
  <c r="AF103" i="13"/>
  <c r="AF54" i="13"/>
  <c r="AD55" i="13"/>
  <c r="AD56" i="13"/>
  <c r="AD57" i="13"/>
  <c r="AD58" i="13"/>
  <c r="AD59" i="13"/>
  <c r="AD60" i="13"/>
  <c r="AD61" i="13"/>
  <c r="AD62" i="13"/>
  <c r="AD63" i="13"/>
  <c r="AD64" i="13"/>
  <c r="AD65" i="13"/>
  <c r="AD66" i="13"/>
  <c r="AD67" i="13"/>
  <c r="AD68" i="13"/>
  <c r="AD69" i="13"/>
  <c r="AD70" i="13"/>
  <c r="AD71" i="13"/>
  <c r="AD72" i="13"/>
  <c r="AD73" i="13"/>
  <c r="AD74" i="13"/>
  <c r="AD75" i="13"/>
  <c r="AD76" i="13"/>
  <c r="AD77" i="13"/>
  <c r="AD78" i="13"/>
  <c r="AD79" i="13"/>
  <c r="AD80" i="13"/>
  <c r="AD81" i="13"/>
  <c r="AD82" i="13"/>
  <c r="AD83" i="13"/>
  <c r="AD84" i="13"/>
  <c r="AD85" i="13"/>
  <c r="AD86" i="13"/>
  <c r="AD87" i="13"/>
  <c r="AD88" i="13"/>
  <c r="AD89" i="13"/>
  <c r="AD90" i="13"/>
  <c r="AD91" i="13"/>
  <c r="AD92" i="13"/>
  <c r="AD93" i="13"/>
  <c r="AD94" i="13"/>
  <c r="AD95" i="13"/>
  <c r="AD96" i="13"/>
  <c r="AD97" i="13"/>
  <c r="AD98" i="13"/>
  <c r="AD99" i="13"/>
  <c r="AD100" i="13"/>
  <c r="AD101" i="13"/>
  <c r="AD102" i="13"/>
  <c r="AD103" i="13"/>
  <c r="AD54" i="13"/>
  <c r="AE55" i="13"/>
  <c r="AE56" i="13"/>
  <c r="AE57" i="13"/>
  <c r="AE58" i="13"/>
  <c r="AE59" i="13"/>
  <c r="AE60" i="13"/>
  <c r="AE61" i="13"/>
  <c r="AE62" i="13"/>
  <c r="AE63" i="13"/>
  <c r="AE64" i="13"/>
  <c r="AE65" i="13"/>
  <c r="AE66" i="13"/>
  <c r="AE67" i="13"/>
  <c r="AE68" i="13"/>
  <c r="AE69" i="13"/>
  <c r="AE70" i="13"/>
  <c r="AE71" i="13"/>
  <c r="AE72" i="13"/>
  <c r="AE73" i="13"/>
  <c r="AE74" i="13"/>
  <c r="AE75" i="13"/>
  <c r="AE76" i="13"/>
  <c r="AE77" i="13"/>
  <c r="AE78" i="13"/>
  <c r="AE79" i="13"/>
  <c r="AE80" i="13"/>
  <c r="AE81" i="13"/>
  <c r="AE82" i="13"/>
  <c r="AE83" i="13"/>
  <c r="AE84" i="13"/>
  <c r="AE85" i="13"/>
  <c r="AE86" i="13"/>
  <c r="AE87" i="13"/>
  <c r="AE88" i="13"/>
  <c r="AE89" i="13"/>
  <c r="AE90" i="13"/>
  <c r="AE91" i="13"/>
  <c r="AE92" i="13"/>
  <c r="AE93" i="13"/>
  <c r="AE94" i="13"/>
  <c r="AE95" i="13"/>
  <c r="AE96" i="13"/>
  <c r="AE97" i="13"/>
  <c r="AE98" i="13"/>
  <c r="AE99" i="13"/>
  <c r="AE100" i="13"/>
  <c r="AE101" i="13"/>
  <c r="AE102" i="13"/>
  <c r="AE103" i="13"/>
  <c r="AE54" i="13"/>
  <c r="U72" i="13" a="1"/>
  <c r="U72" i="13" s="1"/>
  <c r="U84" i="13" a="1"/>
  <c r="U84" i="13" s="1"/>
  <c r="U85" i="13" a="1"/>
  <c r="U85" i="13" s="1"/>
  <c r="U86" i="13" a="1"/>
  <c r="U86" i="13" s="1"/>
  <c r="U87" i="13" a="1"/>
  <c r="U87" i="13" s="1"/>
  <c r="U88" i="13" a="1"/>
  <c r="U88" i="13" s="1"/>
  <c r="U89" i="13" a="1"/>
  <c r="U89" i="13" s="1"/>
  <c r="U90" i="13" a="1"/>
  <c r="U90" i="13" s="1"/>
  <c r="U91" i="13" a="1"/>
  <c r="U91" i="13" s="1"/>
  <c r="U92" i="13" a="1"/>
  <c r="U92" i="13" s="1"/>
  <c r="U93" i="13" a="1"/>
  <c r="U93" i="13" s="1"/>
  <c r="U94" i="13" a="1"/>
  <c r="U94" i="13" s="1"/>
  <c r="U95" i="13" a="1"/>
  <c r="U95" i="13" s="1"/>
  <c r="U96" i="13" a="1"/>
  <c r="U96" i="13" s="1"/>
  <c r="U97" i="13" a="1"/>
  <c r="U97" i="13" s="1"/>
  <c r="U98" i="13" a="1"/>
  <c r="U98" i="13" s="1"/>
  <c r="U99" i="13" a="1"/>
  <c r="U99" i="13" s="1"/>
  <c r="U100" i="13" a="1"/>
  <c r="U100" i="13" s="1"/>
  <c r="U101" i="13" a="1"/>
  <c r="U101" i="13" s="1"/>
  <c r="U102" i="13" a="1"/>
  <c r="U102" i="13" s="1"/>
  <c r="U103" i="13" a="1"/>
  <c r="U103" i="13" s="1"/>
  <c r="T53" i="13" a="1"/>
  <c r="T53" i="13" s="1"/>
  <c r="N56" i="13" a="1"/>
  <c r="N56" i="13" s="1"/>
  <c r="N57" i="13" a="1"/>
  <c r="N57" i="13" s="1"/>
  <c r="N58" i="13" a="1"/>
  <c r="N58" i="13" s="1"/>
  <c r="N59" i="13" a="1"/>
  <c r="N59" i="13" s="1"/>
  <c r="N60" i="13" a="1"/>
  <c r="N60" i="13" s="1"/>
  <c r="N62" i="13" a="1"/>
  <c r="N62" i="13" s="1"/>
  <c r="N70" i="13" a="1"/>
  <c r="N70" i="13" s="1"/>
  <c r="N71" i="13" a="1"/>
  <c r="N71" i="13" s="1"/>
  <c r="N72" i="13" a="1"/>
  <c r="N72" i="13" s="1"/>
  <c r="N74" i="13" a="1"/>
  <c r="N74" i="13" s="1"/>
  <c r="N75" i="13" a="1"/>
  <c r="N75" i="13" s="1"/>
  <c r="N76" i="13" a="1"/>
  <c r="N76" i="13" s="1"/>
  <c r="N78" i="13" a="1"/>
  <c r="N78" i="13" s="1"/>
  <c r="N79" i="13" a="1"/>
  <c r="N79" i="13" s="1"/>
  <c r="N80" i="13" a="1"/>
  <c r="N80" i="13" s="1"/>
  <c r="N81" i="13" a="1"/>
  <c r="N81" i="13" s="1"/>
  <c r="N82" i="13" a="1"/>
  <c r="N82" i="13" s="1"/>
  <c r="N84" i="13" a="1"/>
  <c r="N84" i="13" s="1"/>
  <c r="N86" i="13" a="1"/>
  <c r="N86" i="13" s="1"/>
  <c r="N87" i="13" a="1"/>
  <c r="N87" i="13" s="1"/>
  <c r="N88" i="13" a="1"/>
  <c r="N88" i="13" s="1"/>
  <c r="N89" i="13" a="1"/>
  <c r="N89" i="13" s="1"/>
  <c r="N90" i="13" a="1"/>
  <c r="N90" i="13" s="1"/>
  <c r="N91" i="13" a="1"/>
  <c r="N91" i="13" s="1"/>
  <c r="N92" i="13" a="1"/>
  <c r="N92" i="13" s="1"/>
  <c r="N94" i="13" a="1"/>
  <c r="N94" i="13" s="1"/>
  <c r="N95" i="13" a="1"/>
  <c r="N95" i="13" s="1"/>
  <c r="N96" i="13" a="1"/>
  <c r="N96" i="13" s="1"/>
  <c r="N97" i="13" a="1"/>
  <c r="N97" i="13" s="1"/>
  <c r="N98" i="13" a="1"/>
  <c r="N98" i="13" s="1"/>
  <c r="N99" i="13" a="1"/>
  <c r="N99" i="13" s="1"/>
  <c r="N100" i="13" a="1"/>
  <c r="N100" i="13" s="1"/>
  <c r="N102" i="13" a="1"/>
  <c r="N102" i="13" s="1"/>
  <c r="N55" i="13" a="1"/>
  <c r="N55" i="13" s="1"/>
  <c r="O56" i="13" a="1"/>
  <c r="O56" i="13" s="1"/>
  <c r="O57" i="13" a="1"/>
  <c r="O57" i="13" s="1"/>
  <c r="O58" i="13" a="1"/>
  <c r="O58" i="13" s="1"/>
  <c r="O59" i="13" a="1"/>
  <c r="O59" i="13" s="1"/>
  <c r="O60" i="13" a="1"/>
  <c r="O60" i="13" s="1"/>
  <c r="O61" i="13" a="1"/>
  <c r="O61" i="13" s="1"/>
  <c r="O62" i="13" a="1"/>
  <c r="O62" i="13" s="1"/>
  <c r="O69" i="13" a="1"/>
  <c r="O69" i="13" s="1"/>
  <c r="O70" i="13" a="1"/>
  <c r="O70" i="13" s="1"/>
  <c r="O71" i="13" a="1"/>
  <c r="O71" i="13" s="1"/>
  <c r="O72" i="13" a="1"/>
  <c r="O72" i="13" s="1"/>
  <c r="O74" i="13" a="1"/>
  <c r="O74" i="13" s="1"/>
  <c r="O75" i="13" a="1"/>
  <c r="O75" i="13" s="1"/>
  <c r="O76" i="13" a="1"/>
  <c r="O76" i="13" s="1"/>
  <c r="O77" i="13" a="1"/>
  <c r="O77" i="13" s="1"/>
  <c r="O78" i="13" a="1"/>
  <c r="O78" i="13" s="1"/>
  <c r="O79" i="13" a="1"/>
  <c r="O79" i="13" s="1"/>
  <c r="O80" i="13" a="1"/>
  <c r="O80" i="13" s="1"/>
  <c r="O81" i="13" a="1"/>
  <c r="O81" i="13" s="1"/>
  <c r="O82" i="13" a="1"/>
  <c r="O82" i="13" s="1"/>
  <c r="O83" i="13" a="1"/>
  <c r="O83" i="13" s="1"/>
  <c r="O84" i="13" a="1"/>
  <c r="O84" i="13" s="1"/>
  <c r="O85" i="13" a="1"/>
  <c r="O85" i="13" s="1"/>
  <c r="O86" i="13" a="1"/>
  <c r="O86" i="13" s="1"/>
  <c r="O87" i="13" a="1"/>
  <c r="O87" i="13" s="1"/>
  <c r="O88" i="13" a="1"/>
  <c r="O88" i="13" s="1"/>
  <c r="O89" i="13" a="1"/>
  <c r="O89" i="13" s="1"/>
  <c r="O90" i="13" a="1"/>
  <c r="O90" i="13" s="1"/>
  <c r="O91" i="13" a="1"/>
  <c r="O91" i="13" s="1"/>
  <c r="O92" i="13" a="1"/>
  <c r="O92" i="13" s="1"/>
  <c r="O94" i="13" a="1"/>
  <c r="O94" i="13" s="1"/>
  <c r="O95" i="13" a="1"/>
  <c r="O95" i="13" s="1"/>
  <c r="O96" i="13" a="1"/>
  <c r="O96" i="13" s="1"/>
  <c r="O97" i="13" a="1"/>
  <c r="O97" i="13" s="1"/>
  <c r="O98" i="13" a="1"/>
  <c r="O98" i="13" s="1"/>
  <c r="O99" i="13" a="1"/>
  <c r="O99" i="13" s="1"/>
  <c r="O100" i="13" a="1"/>
  <c r="O100" i="13" s="1"/>
  <c r="O101" i="13" a="1"/>
  <c r="O101" i="13" s="1"/>
  <c r="O102" i="13" a="1"/>
  <c r="O102" i="13" s="1"/>
  <c r="O103" i="13" a="1"/>
  <c r="O103" i="13" s="1"/>
  <c r="O55" i="13" a="1"/>
  <c r="O55" i="13" s="1"/>
  <c r="F103" i="13"/>
  <c r="E103" i="13"/>
  <c r="D103" i="13"/>
  <c r="F102" i="13"/>
  <c r="E102" i="13"/>
  <c r="D102" i="13"/>
  <c r="F101" i="13"/>
  <c r="E101" i="13"/>
  <c r="D101" i="13"/>
  <c r="F100" i="13"/>
  <c r="E100" i="13"/>
  <c r="D100" i="13"/>
  <c r="F99" i="13"/>
  <c r="E99" i="13"/>
  <c r="D99" i="13"/>
  <c r="F98" i="13"/>
  <c r="E98" i="13"/>
  <c r="D98" i="13"/>
  <c r="F97" i="13"/>
  <c r="E97" i="13"/>
  <c r="D97" i="13"/>
  <c r="F96" i="13"/>
  <c r="E96" i="13"/>
  <c r="D96" i="13"/>
  <c r="F95" i="13"/>
  <c r="E95" i="13"/>
  <c r="D95" i="13"/>
  <c r="F94" i="13"/>
  <c r="E94" i="13"/>
  <c r="D94" i="13"/>
  <c r="F93" i="13"/>
  <c r="E93" i="13"/>
  <c r="D93" i="13"/>
  <c r="F92" i="13"/>
  <c r="E92" i="13"/>
  <c r="D92" i="13"/>
  <c r="F91" i="13"/>
  <c r="E91" i="13"/>
  <c r="D91" i="13"/>
  <c r="F90" i="13"/>
  <c r="E90" i="13"/>
  <c r="D90" i="13"/>
  <c r="F89" i="13"/>
  <c r="E89" i="13"/>
  <c r="D89" i="13"/>
  <c r="F88" i="13"/>
  <c r="E88" i="13"/>
  <c r="D88" i="13"/>
  <c r="F87" i="13"/>
  <c r="E87" i="13"/>
  <c r="D87" i="13"/>
  <c r="F86" i="13"/>
  <c r="E86" i="13"/>
  <c r="D86" i="13"/>
  <c r="F85" i="13"/>
  <c r="E85" i="13"/>
  <c r="D85" i="13"/>
  <c r="F84" i="13"/>
  <c r="E84" i="13"/>
  <c r="D84" i="13"/>
  <c r="F83" i="13"/>
  <c r="E83" i="13"/>
  <c r="D83" i="13"/>
  <c r="F82" i="13"/>
  <c r="E82" i="13"/>
  <c r="D82" i="13"/>
  <c r="F81" i="13"/>
  <c r="E81" i="13"/>
  <c r="D81" i="13"/>
  <c r="F80" i="13"/>
  <c r="E80" i="13"/>
  <c r="D80" i="13"/>
  <c r="F79" i="13"/>
  <c r="E79" i="13"/>
  <c r="D79" i="13"/>
  <c r="F78" i="13"/>
  <c r="E78" i="13"/>
  <c r="D78" i="13"/>
  <c r="F77" i="13"/>
  <c r="E77" i="13"/>
  <c r="D77" i="13"/>
  <c r="F76" i="13"/>
  <c r="E76" i="13"/>
  <c r="D76" i="13"/>
  <c r="F75" i="13"/>
  <c r="E75" i="13"/>
  <c r="D75" i="13"/>
  <c r="F74" i="13"/>
  <c r="E74" i="13"/>
  <c r="D74" i="13"/>
  <c r="F73" i="13"/>
  <c r="E73" i="13"/>
  <c r="D73" i="13"/>
  <c r="F72" i="13"/>
  <c r="E72" i="13"/>
  <c r="D72" i="13"/>
  <c r="F71" i="13"/>
  <c r="E71" i="13"/>
  <c r="D71" i="13"/>
  <c r="F70" i="13"/>
  <c r="E70" i="13"/>
  <c r="D70" i="13"/>
  <c r="F69" i="13"/>
  <c r="E69" i="13"/>
  <c r="D69" i="13"/>
  <c r="F68" i="13"/>
  <c r="E68" i="13"/>
  <c r="D68" i="13"/>
  <c r="F67" i="13"/>
  <c r="E67" i="13"/>
  <c r="D67" i="13"/>
  <c r="F66" i="13"/>
  <c r="E66" i="13"/>
  <c r="D66" i="13"/>
  <c r="F65" i="13"/>
  <c r="E65" i="13"/>
  <c r="D65" i="13"/>
  <c r="F64" i="13"/>
  <c r="E64" i="13"/>
  <c r="D64" i="13"/>
  <c r="F63" i="13"/>
  <c r="E63" i="13"/>
  <c r="D63" i="13"/>
  <c r="F62" i="13"/>
  <c r="E62" i="13"/>
  <c r="D62" i="13"/>
  <c r="F61" i="13"/>
  <c r="E61" i="13"/>
  <c r="D61" i="13"/>
  <c r="F60" i="13"/>
  <c r="E60" i="13"/>
  <c r="D60" i="13"/>
  <c r="F59" i="13"/>
  <c r="E59" i="13"/>
  <c r="D59" i="13"/>
  <c r="F58" i="13"/>
  <c r="E58" i="13"/>
  <c r="D58" i="13"/>
  <c r="F57" i="13"/>
  <c r="E57" i="13"/>
  <c r="D57" i="13"/>
  <c r="F56" i="13"/>
  <c r="E56" i="13"/>
  <c r="D56" i="13"/>
  <c r="F55" i="13"/>
  <c r="E55" i="13"/>
  <c r="D55" i="13"/>
  <c r="X54" i="13"/>
  <c r="V54" i="13"/>
  <c r="G54" i="13"/>
  <c r="E54" i="13"/>
  <c r="D54" i="13"/>
  <c r="K53" i="13" a="1"/>
  <c r="K53" i="13" s="1"/>
  <c r="BA84" i="4"/>
  <c r="AZ84" i="4"/>
  <c r="AY84" i="4"/>
  <c r="AX84" i="4"/>
  <c r="AW84" i="4"/>
  <c r="AV84" i="4"/>
  <c r="AU84" i="4"/>
  <c r="AT84" i="4"/>
  <c r="AS84" i="4"/>
  <c r="AR84" i="4"/>
  <c r="AQ84" i="4"/>
  <c r="AP84" i="4"/>
  <c r="AO84" i="4"/>
  <c r="AN84" i="4"/>
  <c r="AM84" i="4"/>
  <c r="AL84" i="4"/>
  <c r="AK84" i="4"/>
  <c r="AJ84" i="4"/>
  <c r="AI84" i="4"/>
  <c r="AH84" i="4"/>
  <c r="AG84" i="4"/>
  <c r="AF84" i="4"/>
  <c r="AE84" i="4"/>
  <c r="AD84" i="4"/>
  <c r="AC84" i="4"/>
  <c r="AB84" i="4"/>
  <c r="AA84" i="4"/>
  <c r="Z84" i="4"/>
  <c r="Y84" i="4"/>
  <c r="X84" i="4"/>
  <c r="W84" i="4"/>
  <c r="V84" i="4"/>
  <c r="U84" i="4"/>
  <c r="T84" i="4"/>
  <c r="S84" i="4"/>
  <c r="R84" i="4"/>
  <c r="Q84" i="4"/>
  <c r="P84" i="4"/>
  <c r="O84" i="4"/>
  <c r="N84" i="4"/>
  <c r="M84" i="4"/>
  <c r="L84" i="4"/>
  <c r="K84" i="4"/>
  <c r="J84" i="4"/>
  <c r="I84" i="4"/>
  <c r="H84" i="4"/>
  <c r="G84" i="4"/>
  <c r="F84" i="4"/>
  <c r="E84" i="4"/>
  <c r="BA83" i="4"/>
  <c r="AZ83" i="4"/>
  <c r="AY83" i="4"/>
  <c r="AX83" i="4"/>
  <c r="AW83" i="4"/>
  <c r="AV83" i="4"/>
  <c r="AU83" i="4"/>
  <c r="AT83" i="4"/>
  <c r="AS83" i="4"/>
  <c r="AR83" i="4"/>
  <c r="AQ83" i="4"/>
  <c r="AP83" i="4"/>
  <c r="AO83" i="4"/>
  <c r="AN83" i="4"/>
  <c r="AM83" i="4"/>
  <c r="AL83" i="4"/>
  <c r="AK83" i="4"/>
  <c r="AJ83" i="4"/>
  <c r="AI83" i="4"/>
  <c r="AH83" i="4"/>
  <c r="AG83" i="4"/>
  <c r="AF83" i="4"/>
  <c r="AE83" i="4"/>
  <c r="AD83" i="4"/>
  <c r="AC83" i="4"/>
  <c r="AB83" i="4"/>
  <c r="AA83" i="4"/>
  <c r="Z83" i="4"/>
  <c r="Y83" i="4"/>
  <c r="X83" i="4"/>
  <c r="W83" i="4"/>
  <c r="V83" i="4"/>
  <c r="U83" i="4"/>
  <c r="T83" i="4"/>
  <c r="S83" i="4"/>
  <c r="R83" i="4"/>
  <c r="Q83" i="4"/>
  <c r="P83" i="4"/>
  <c r="O83" i="4"/>
  <c r="N83" i="4"/>
  <c r="M83" i="4"/>
  <c r="L83" i="4"/>
  <c r="K83" i="4"/>
  <c r="J83" i="4"/>
  <c r="I83" i="4"/>
  <c r="H83" i="4"/>
  <c r="G83" i="4"/>
  <c r="F83" i="4"/>
  <c r="E83" i="4"/>
  <c r="BA82" i="4"/>
  <c r="AZ82" i="4"/>
  <c r="AY82" i="4"/>
  <c r="AX82" i="4"/>
  <c r="AW82" i="4"/>
  <c r="AV82" i="4"/>
  <c r="AU82" i="4"/>
  <c r="AT82" i="4"/>
  <c r="AS82" i="4"/>
  <c r="AR82" i="4"/>
  <c r="AQ82" i="4"/>
  <c r="AP82" i="4"/>
  <c r="AO82" i="4"/>
  <c r="AN82" i="4"/>
  <c r="AM82" i="4"/>
  <c r="AL82" i="4"/>
  <c r="AK82" i="4"/>
  <c r="AJ82" i="4"/>
  <c r="AI82" i="4"/>
  <c r="AH82" i="4"/>
  <c r="AG82" i="4"/>
  <c r="AF82" i="4"/>
  <c r="AE82" i="4"/>
  <c r="AD82" i="4"/>
  <c r="AC82" i="4"/>
  <c r="AB82" i="4"/>
  <c r="AA82" i="4"/>
  <c r="Z82" i="4"/>
  <c r="Y82" i="4"/>
  <c r="X82" i="4"/>
  <c r="W82" i="4"/>
  <c r="V82" i="4"/>
  <c r="U82" i="4"/>
  <c r="T82" i="4"/>
  <c r="S82" i="4"/>
  <c r="R82" i="4"/>
  <c r="Q82" i="4"/>
  <c r="P82" i="4"/>
  <c r="O82" i="4"/>
  <c r="N82" i="4"/>
  <c r="M82" i="4"/>
  <c r="L82" i="4"/>
  <c r="K82" i="4"/>
  <c r="J82" i="4"/>
  <c r="I82" i="4"/>
  <c r="H82" i="4"/>
  <c r="G82" i="4"/>
  <c r="F82" i="4"/>
  <c r="E82" i="4"/>
  <c r="D82" i="4"/>
  <c r="BA76" i="4"/>
  <c r="AZ76" i="4"/>
  <c r="AY76" i="4"/>
  <c r="AX76" i="4"/>
  <c r="AW76" i="4"/>
  <c r="AV76" i="4"/>
  <c r="AU76" i="4"/>
  <c r="AT76" i="4"/>
  <c r="AS76" i="4"/>
  <c r="AR76" i="4"/>
  <c r="AQ76" i="4"/>
  <c r="AP76" i="4"/>
  <c r="AO76" i="4"/>
  <c r="AN76" i="4"/>
  <c r="AM76" i="4"/>
  <c r="AL76" i="4"/>
  <c r="AK76" i="4"/>
  <c r="AJ76" i="4"/>
  <c r="AI76" i="4"/>
  <c r="AH76" i="4"/>
  <c r="AG76" i="4"/>
  <c r="AF76" i="4"/>
  <c r="AE76" i="4"/>
  <c r="AD76" i="4"/>
  <c r="AC76" i="4"/>
  <c r="AB76" i="4"/>
  <c r="AA76" i="4"/>
  <c r="Z76" i="4"/>
  <c r="Y76" i="4"/>
  <c r="X76" i="4"/>
  <c r="W76" i="4"/>
  <c r="V76" i="4"/>
  <c r="U76" i="4"/>
  <c r="T76" i="4"/>
  <c r="S76" i="4"/>
  <c r="R76" i="4"/>
  <c r="Q76" i="4"/>
  <c r="P76" i="4"/>
  <c r="O76" i="4"/>
  <c r="N76" i="4"/>
  <c r="M76" i="4"/>
  <c r="L76" i="4"/>
  <c r="K76" i="4"/>
  <c r="J76" i="4"/>
  <c r="I76" i="4"/>
  <c r="H76" i="4"/>
  <c r="G76" i="4"/>
  <c r="F76" i="4"/>
  <c r="E76" i="4"/>
  <c r="D76" i="4"/>
  <c r="BA73" i="4"/>
  <c r="BA73" i="4" a="1"/>
  <c r="AZ73" i="4"/>
  <c r="AZ73" i="4" a="1"/>
  <c r="AY73" i="4"/>
  <c r="AY73" i="4" a="1"/>
  <c r="AX73" i="4"/>
  <c r="AX73" i="4" a="1"/>
  <c r="AW73" i="4"/>
  <c r="AW73" i="4" a="1"/>
  <c r="AV73" i="4"/>
  <c r="AV73" i="4" a="1"/>
  <c r="AU73" i="4"/>
  <c r="AU73" i="4" a="1"/>
  <c r="AT73" i="4"/>
  <c r="AT73" i="4" a="1"/>
  <c r="AS73" i="4"/>
  <c r="AS73" i="4" a="1"/>
  <c r="AR73" i="4"/>
  <c r="AR73" i="4" a="1"/>
  <c r="AQ73" i="4"/>
  <c r="AQ73" i="4" a="1"/>
  <c r="AP73" i="4"/>
  <c r="AP73" i="4" a="1"/>
  <c r="AO73" i="4"/>
  <c r="AO73" i="4" a="1"/>
  <c r="AN73" i="4"/>
  <c r="AN73" i="4" a="1"/>
  <c r="AM73" i="4"/>
  <c r="AM73" i="4" a="1"/>
  <c r="AL73" i="4"/>
  <c r="AL73" i="4" a="1"/>
  <c r="AK73" i="4"/>
  <c r="AK73" i="4" a="1"/>
  <c r="AJ73" i="4"/>
  <c r="AJ73" i="4" a="1"/>
  <c r="AI73" i="4"/>
  <c r="AI73" i="4" a="1"/>
  <c r="AH73" i="4"/>
  <c r="AH73" i="4" a="1"/>
  <c r="AG73" i="4"/>
  <c r="AG73" i="4" a="1"/>
  <c r="AF73" i="4"/>
  <c r="AF73" i="4" a="1"/>
  <c r="AE73" i="4"/>
  <c r="AE73" i="4" a="1"/>
  <c r="AD73" i="4"/>
  <c r="AD73" i="4" a="1"/>
  <c r="AC73" i="4"/>
  <c r="AC73" i="4" a="1"/>
  <c r="AB73" i="4"/>
  <c r="AB73" i="4" a="1"/>
  <c r="AA73" i="4"/>
  <c r="AA73" i="4" a="1"/>
  <c r="Z73" i="4"/>
  <c r="Z73" i="4" a="1"/>
  <c r="Y73" i="4"/>
  <c r="Y73" i="4" a="1"/>
  <c r="X73" i="4"/>
  <c r="X73" i="4" a="1"/>
  <c r="W73" i="4"/>
  <c r="W73" i="4" a="1"/>
  <c r="V73" i="4"/>
  <c r="V73" i="4" a="1"/>
  <c r="U73" i="4"/>
  <c r="U73" i="4" a="1"/>
  <c r="T73" i="4"/>
  <c r="T73" i="4" a="1"/>
  <c r="S73" i="4"/>
  <c r="S73" i="4" a="1"/>
  <c r="R73" i="4"/>
  <c r="R73" i="4" a="1"/>
  <c r="Q73" i="4"/>
  <c r="Q73" i="4" a="1"/>
  <c r="P73" i="4"/>
  <c r="P73" i="4" a="1"/>
  <c r="O73" i="4"/>
  <c r="O73" i="4" a="1"/>
  <c r="N73" i="4"/>
  <c r="N73" i="4" a="1"/>
  <c r="M73" i="4"/>
  <c r="M73" i="4" a="1"/>
  <c r="L73" i="4"/>
  <c r="L73" i="4" a="1"/>
  <c r="K73" i="4"/>
  <c r="K73" i="4" a="1"/>
  <c r="J73" i="4"/>
  <c r="J73" i="4" a="1"/>
  <c r="I73" i="4"/>
  <c r="I73" i="4" a="1"/>
  <c r="H73" i="4"/>
  <c r="H73" i="4" a="1"/>
  <c r="G73" i="4"/>
  <c r="G73" i="4" a="1"/>
  <c r="F73" i="4"/>
  <c r="F73" i="4" a="1"/>
  <c r="E73" i="4"/>
  <c r="E73" i="4" a="1"/>
  <c r="D73" i="4"/>
  <c r="D73" i="4" a="1"/>
  <c r="BA72" i="4"/>
  <c r="BA72" i="4" a="1"/>
  <c r="AZ72" i="4"/>
  <c r="AZ72" i="4" a="1"/>
  <c r="AY72" i="4"/>
  <c r="AY72" i="4" a="1"/>
  <c r="AX72" i="4"/>
  <c r="AX72" i="4" a="1"/>
  <c r="AW72" i="4"/>
  <c r="AW72" i="4" a="1"/>
  <c r="AV72" i="4"/>
  <c r="AV72" i="4" a="1"/>
  <c r="AU72" i="4"/>
  <c r="AU72" i="4" a="1"/>
  <c r="AT72" i="4"/>
  <c r="AT72" i="4" a="1"/>
  <c r="AS72" i="4"/>
  <c r="AS72" i="4" a="1"/>
  <c r="AR72" i="4"/>
  <c r="AR72" i="4" a="1"/>
  <c r="AQ72" i="4"/>
  <c r="AQ72" i="4" a="1"/>
  <c r="AP72" i="4"/>
  <c r="AP72" i="4" a="1"/>
  <c r="AO72" i="4"/>
  <c r="AO72" i="4" a="1"/>
  <c r="AN72" i="4"/>
  <c r="AN72" i="4" a="1"/>
  <c r="AM72" i="4"/>
  <c r="AM72" i="4" a="1"/>
  <c r="AL72" i="4"/>
  <c r="AL72" i="4" a="1"/>
  <c r="AK72" i="4"/>
  <c r="AK72" i="4" a="1"/>
  <c r="AJ72" i="4"/>
  <c r="AJ72" i="4" a="1"/>
  <c r="AI72" i="4"/>
  <c r="AI72" i="4" a="1"/>
  <c r="AH72" i="4"/>
  <c r="AH72" i="4" a="1"/>
  <c r="AG72" i="4"/>
  <c r="AG72" i="4" a="1"/>
  <c r="AF72" i="4"/>
  <c r="AF72" i="4" a="1"/>
  <c r="AE72" i="4"/>
  <c r="AE72" i="4" a="1"/>
  <c r="AD72" i="4"/>
  <c r="AD72" i="4" a="1"/>
  <c r="AC72" i="4"/>
  <c r="AC72" i="4" a="1"/>
  <c r="AB72" i="4"/>
  <c r="AB72" i="4" a="1"/>
  <c r="AA72" i="4"/>
  <c r="AA72" i="4" a="1"/>
  <c r="Z72" i="4"/>
  <c r="Z72" i="4" a="1"/>
  <c r="Y72" i="4"/>
  <c r="Y72" i="4" a="1"/>
  <c r="X72" i="4"/>
  <c r="X72" i="4" a="1"/>
  <c r="W72" i="4"/>
  <c r="W72" i="4" a="1"/>
  <c r="V72" i="4"/>
  <c r="V72" i="4" a="1"/>
  <c r="U72" i="4"/>
  <c r="U72" i="4" a="1"/>
  <c r="T72" i="4"/>
  <c r="T72" i="4" a="1"/>
  <c r="S72" i="4"/>
  <c r="S72" i="4" a="1"/>
  <c r="R72" i="4"/>
  <c r="R72" i="4" a="1"/>
  <c r="Q72" i="4"/>
  <c r="Q72" i="4" a="1"/>
  <c r="P72" i="4"/>
  <c r="P72" i="4" a="1"/>
  <c r="O72" i="4"/>
  <c r="O72" i="4" a="1"/>
  <c r="N72" i="4"/>
  <c r="N72" i="4" a="1"/>
  <c r="M72" i="4"/>
  <c r="M72" i="4" a="1"/>
  <c r="L72" i="4"/>
  <c r="L72" i="4" a="1"/>
  <c r="K72" i="4"/>
  <c r="K72" i="4" a="1"/>
  <c r="J72" i="4"/>
  <c r="J72" i="4" a="1"/>
  <c r="I72" i="4"/>
  <c r="I72" i="4" a="1"/>
  <c r="H72" i="4"/>
  <c r="H72" i="4" a="1"/>
  <c r="G72" i="4"/>
  <c r="G72" i="4" a="1"/>
  <c r="F72" i="4"/>
  <c r="F72" i="4" a="1"/>
  <c r="E72" i="4"/>
  <c r="E72" i="4" a="1"/>
  <c r="D72" i="4"/>
  <c r="D72" i="4" a="1"/>
  <c r="BA71" i="4"/>
  <c r="BA71" i="4" a="1"/>
  <c r="AZ71" i="4"/>
  <c r="AZ71" i="4" a="1"/>
  <c r="AY71" i="4"/>
  <c r="AY71" i="4" a="1"/>
  <c r="AX71" i="4"/>
  <c r="AX71" i="4" a="1"/>
  <c r="AW71" i="4"/>
  <c r="AW71" i="4" a="1"/>
  <c r="AV71" i="4"/>
  <c r="AV71" i="4" a="1"/>
  <c r="AU71" i="4"/>
  <c r="AU71" i="4" a="1"/>
  <c r="AT71" i="4"/>
  <c r="AT71" i="4" a="1"/>
  <c r="AS71" i="4"/>
  <c r="AS71" i="4" a="1"/>
  <c r="AR71" i="4"/>
  <c r="AR71" i="4" a="1"/>
  <c r="AQ71" i="4"/>
  <c r="AQ71" i="4" a="1"/>
  <c r="AP71" i="4"/>
  <c r="AP71" i="4" a="1"/>
  <c r="AO71" i="4"/>
  <c r="AO71" i="4" a="1"/>
  <c r="AN71" i="4"/>
  <c r="AN71" i="4" a="1"/>
  <c r="AM71" i="4"/>
  <c r="AM71" i="4" a="1"/>
  <c r="AL71" i="4"/>
  <c r="AL71" i="4" a="1"/>
  <c r="AK71" i="4"/>
  <c r="AK71" i="4" a="1"/>
  <c r="AJ71" i="4"/>
  <c r="AJ71" i="4" a="1"/>
  <c r="AI71" i="4"/>
  <c r="AI71" i="4" a="1"/>
  <c r="AH71" i="4"/>
  <c r="AH71" i="4" a="1"/>
  <c r="AG71" i="4"/>
  <c r="AG71" i="4" a="1"/>
  <c r="AF71" i="4"/>
  <c r="AF71" i="4" a="1"/>
  <c r="AE71" i="4"/>
  <c r="AE71" i="4" a="1"/>
  <c r="AD71" i="4"/>
  <c r="AD71" i="4" a="1"/>
  <c r="AC71" i="4"/>
  <c r="AC71" i="4" a="1"/>
  <c r="AB71" i="4"/>
  <c r="AB71" i="4" a="1"/>
  <c r="AA71" i="4"/>
  <c r="AA71" i="4" a="1"/>
  <c r="Z71" i="4"/>
  <c r="Z71" i="4" a="1"/>
  <c r="Y71" i="4"/>
  <c r="Y71" i="4" a="1"/>
  <c r="X71" i="4"/>
  <c r="X71" i="4" a="1"/>
  <c r="W71" i="4"/>
  <c r="W71" i="4" a="1"/>
  <c r="V71" i="4"/>
  <c r="V71" i="4" a="1"/>
  <c r="U71" i="4"/>
  <c r="U71" i="4" a="1"/>
  <c r="T71" i="4"/>
  <c r="T71" i="4" a="1"/>
  <c r="S71" i="4"/>
  <c r="S71" i="4" a="1"/>
  <c r="R71" i="4"/>
  <c r="R71" i="4" a="1"/>
  <c r="Q71" i="4"/>
  <c r="Q71" i="4" a="1"/>
  <c r="P71" i="4"/>
  <c r="P71" i="4" a="1"/>
  <c r="O71" i="4"/>
  <c r="O71" i="4" a="1"/>
  <c r="N71" i="4"/>
  <c r="N71" i="4" a="1"/>
  <c r="M71" i="4"/>
  <c r="M71" i="4" a="1"/>
  <c r="L71" i="4"/>
  <c r="L71" i="4" a="1"/>
  <c r="K71" i="4"/>
  <c r="K71" i="4" a="1"/>
  <c r="J71" i="4"/>
  <c r="J71" i="4" a="1"/>
  <c r="I71" i="4"/>
  <c r="I71" i="4" a="1"/>
  <c r="H71" i="4"/>
  <c r="H71" i="4" a="1"/>
  <c r="G71" i="4"/>
  <c r="G71" i="4" a="1"/>
  <c r="F71" i="4"/>
  <c r="F71" i="4" a="1"/>
  <c r="E71" i="4"/>
  <c r="E71" i="4" a="1"/>
  <c r="D71" i="4"/>
  <c r="D71" i="4" a="1"/>
  <c r="BA65" i="4" a="1"/>
  <c r="BA65" i="4" s="1"/>
  <c r="AZ65" i="4" a="1"/>
  <c r="AZ65" i="4" s="1"/>
  <c r="AY65" i="4" a="1"/>
  <c r="AY65" i="4" s="1"/>
  <c r="AX65" i="4" a="1"/>
  <c r="AX65" i="4" s="1"/>
  <c r="AW65" i="4" a="1"/>
  <c r="AW65" i="4" s="1"/>
  <c r="AV65" i="4" a="1"/>
  <c r="AV65" i="4" s="1"/>
  <c r="AU65" i="4" a="1"/>
  <c r="AU65" i="4" s="1"/>
  <c r="AT65" i="4" a="1"/>
  <c r="AT65" i="4" s="1"/>
  <c r="AS65" i="4" a="1"/>
  <c r="AS65" i="4" s="1"/>
  <c r="AR65" i="4" a="1"/>
  <c r="AR65" i="4" s="1"/>
  <c r="AQ65" i="4" a="1"/>
  <c r="AQ65" i="4" s="1"/>
  <c r="AP65" i="4" a="1"/>
  <c r="AP65" i="4" s="1"/>
  <c r="AO65" i="4" a="1"/>
  <c r="AO65" i="4" s="1"/>
  <c r="AN65" i="4" a="1"/>
  <c r="AN65" i="4" s="1"/>
  <c r="AM65" i="4" a="1"/>
  <c r="AM65" i="4" s="1"/>
  <c r="AL65" i="4" a="1"/>
  <c r="AL65" i="4" s="1"/>
  <c r="AK65" i="4" a="1"/>
  <c r="AK65" i="4" s="1"/>
  <c r="AJ65" i="4" a="1"/>
  <c r="AJ65" i="4" s="1"/>
  <c r="AI65" i="4" a="1"/>
  <c r="AI65" i="4" s="1"/>
  <c r="AH65" i="4" a="1"/>
  <c r="AH65" i="4" s="1"/>
  <c r="AG65" i="4" a="1"/>
  <c r="AG65" i="4" s="1"/>
  <c r="AF65" i="4" a="1"/>
  <c r="AF65" i="4" s="1"/>
  <c r="AE65" i="4" a="1"/>
  <c r="AE65" i="4" s="1"/>
  <c r="AD65" i="4" a="1"/>
  <c r="AD65" i="4" s="1"/>
  <c r="AC65" i="4" a="1"/>
  <c r="AC65" i="4" s="1"/>
  <c r="AB65" i="4" a="1"/>
  <c r="AB65" i="4" s="1"/>
  <c r="AA65" i="4" a="1"/>
  <c r="AA65" i="4" s="1"/>
  <c r="Z65" i="4" a="1"/>
  <c r="Z65" i="4" s="1"/>
  <c r="Y65" i="4" a="1"/>
  <c r="Y65" i="4" s="1"/>
  <c r="X65" i="4" a="1"/>
  <c r="X65" i="4" s="1"/>
  <c r="W65" i="4" a="1"/>
  <c r="W65" i="4" s="1"/>
  <c r="V65" i="4" a="1"/>
  <c r="V65" i="4" s="1"/>
  <c r="U65" i="4" a="1"/>
  <c r="U65" i="4" s="1"/>
  <c r="T65" i="4" a="1"/>
  <c r="T65" i="4" s="1"/>
  <c r="S65" i="4" a="1"/>
  <c r="S65" i="4" s="1"/>
  <c r="R65" i="4" a="1"/>
  <c r="R65" i="4" s="1"/>
  <c r="Q65" i="4" a="1"/>
  <c r="Q65" i="4" s="1"/>
  <c r="P65" i="4" a="1"/>
  <c r="P65" i="4" s="1"/>
  <c r="O65" i="4" a="1"/>
  <c r="O65" i="4" s="1"/>
  <c r="N65" i="4" a="1"/>
  <c r="N65" i="4" s="1"/>
  <c r="M65" i="4" a="1"/>
  <c r="M65" i="4" s="1"/>
  <c r="L65" i="4" a="1"/>
  <c r="L65" i="4" s="1"/>
  <c r="K65" i="4" a="1"/>
  <c r="K65" i="4" s="1"/>
  <c r="J65" i="4" a="1"/>
  <c r="J65" i="4" s="1"/>
  <c r="I65" i="4" a="1"/>
  <c r="I65" i="4" s="1"/>
  <c r="H65" i="4" a="1"/>
  <c r="H65" i="4" s="1"/>
  <c r="G65" i="4" a="1"/>
  <c r="G65" i="4" s="1"/>
  <c r="F65" i="4" a="1"/>
  <c r="F65" i="4" s="1"/>
  <c r="E65" i="4" a="1"/>
  <c r="E65" i="4" s="1"/>
  <c r="D65" i="4" a="1"/>
  <c r="D65" i="4" s="1"/>
  <c r="BA64" i="4" a="1"/>
  <c r="BA64" i="4" s="1"/>
  <c r="AZ64" i="4" a="1"/>
  <c r="AZ64" i="4" s="1"/>
  <c r="AY64" i="4" a="1"/>
  <c r="AY64" i="4" s="1"/>
  <c r="AX64" i="4" a="1"/>
  <c r="AX64" i="4" s="1"/>
  <c r="AW64" i="4" a="1"/>
  <c r="AW64" i="4" s="1"/>
  <c r="AV64" i="4" a="1"/>
  <c r="AV64" i="4" s="1"/>
  <c r="AU64" i="4" a="1"/>
  <c r="AU64" i="4" s="1"/>
  <c r="AT64" i="4" a="1"/>
  <c r="AT64" i="4" s="1"/>
  <c r="AS64" i="4" a="1"/>
  <c r="AS64" i="4" s="1"/>
  <c r="AR64" i="4" a="1"/>
  <c r="AR64" i="4" s="1"/>
  <c r="AQ64" i="4" a="1"/>
  <c r="AQ64" i="4" s="1"/>
  <c r="AP64" i="4" a="1"/>
  <c r="AP64" i="4" s="1"/>
  <c r="AO64" i="4" a="1"/>
  <c r="AO64" i="4" s="1"/>
  <c r="AN64" i="4" a="1"/>
  <c r="AN64" i="4" s="1"/>
  <c r="AM64" i="4" a="1"/>
  <c r="AM64" i="4" s="1"/>
  <c r="AL64" i="4" a="1"/>
  <c r="AL64" i="4" s="1"/>
  <c r="AK64" i="4" a="1"/>
  <c r="AK64" i="4" s="1"/>
  <c r="AJ64" i="4" a="1"/>
  <c r="AJ64" i="4" s="1"/>
  <c r="AI64" i="4" a="1"/>
  <c r="AI64" i="4" s="1"/>
  <c r="AH64" i="4" a="1"/>
  <c r="AH64" i="4" s="1"/>
  <c r="AG64" i="4" a="1"/>
  <c r="AG64" i="4" s="1"/>
  <c r="AF64" i="4" a="1"/>
  <c r="AF64" i="4" s="1"/>
  <c r="AE64" i="4" a="1"/>
  <c r="AE64" i="4" s="1"/>
  <c r="AD64" i="4" a="1"/>
  <c r="AD64" i="4" s="1"/>
  <c r="AC64" i="4" a="1"/>
  <c r="AC64" i="4" s="1"/>
  <c r="AB64" i="4" a="1"/>
  <c r="AB64" i="4" s="1"/>
  <c r="AA64" i="4" a="1"/>
  <c r="AA64" i="4" s="1"/>
  <c r="Z64" i="4" a="1"/>
  <c r="Z64" i="4" s="1"/>
  <c r="Y64" i="4" a="1"/>
  <c r="Y64" i="4" s="1"/>
  <c r="X64" i="4" a="1"/>
  <c r="X64" i="4" s="1"/>
  <c r="W64" i="4" a="1"/>
  <c r="W64" i="4" s="1"/>
  <c r="V64" i="4" a="1"/>
  <c r="V64" i="4" s="1"/>
  <c r="U64" i="4" a="1"/>
  <c r="U64" i="4" s="1"/>
  <c r="T64" i="4" a="1"/>
  <c r="T64" i="4" s="1"/>
  <c r="S64" i="4" a="1"/>
  <c r="S64" i="4" s="1"/>
  <c r="R64" i="4" a="1"/>
  <c r="R64" i="4" s="1"/>
  <c r="Q64" i="4" a="1"/>
  <c r="Q64" i="4" s="1"/>
  <c r="P64" i="4" a="1"/>
  <c r="P64" i="4" s="1"/>
  <c r="O64" i="4" a="1"/>
  <c r="O64" i="4" s="1"/>
  <c r="N64" i="4" a="1"/>
  <c r="N64" i="4" s="1"/>
  <c r="M64" i="4" a="1"/>
  <c r="M64" i="4" s="1"/>
  <c r="L64" i="4" a="1"/>
  <c r="L64" i="4" s="1"/>
  <c r="K64" i="4" a="1"/>
  <c r="K64" i="4" s="1"/>
  <c r="J64" i="4" a="1"/>
  <c r="J64" i="4" s="1"/>
  <c r="I64" i="4" a="1"/>
  <c r="I64" i="4" s="1"/>
  <c r="H64" i="4" a="1"/>
  <c r="H64" i="4" s="1"/>
  <c r="G64" i="4" a="1"/>
  <c r="G64" i="4" s="1"/>
  <c r="F64" i="4" a="1"/>
  <c r="F64" i="4" s="1"/>
  <c r="E64" i="4" a="1"/>
  <c r="E64" i="4" s="1"/>
  <c r="D64" i="4" a="1"/>
  <c r="D64" i="4" s="1"/>
  <c r="BA63" i="4" a="1"/>
  <c r="BA63" i="4" s="1"/>
  <c r="AZ63" i="4" a="1"/>
  <c r="AZ63" i="4" s="1"/>
  <c r="AY63" i="4" a="1"/>
  <c r="AY63" i="4" s="1"/>
  <c r="AX63" i="4" a="1"/>
  <c r="AX63" i="4" s="1"/>
  <c r="AW63" i="4" a="1"/>
  <c r="AW63" i="4" s="1"/>
  <c r="AV63" i="4" a="1"/>
  <c r="AV63" i="4" s="1"/>
  <c r="AU63" i="4" a="1"/>
  <c r="AU63" i="4" s="1"/>
  <c r="AT63" i="4" a="1"/>
  <c r="AT63" i="4" s="1"/>
  <c r="AS63" i="4" a="1"/>
  <c r="AS63" i="4" s="1"/>
  <c r="AR63" i="4" a="1"/>
  <c r="AR63" i="4" s="1"/>
  <c r="AQ63" i="4" a="1"/>
  <c r="AQ63" i="4" s="1"/>
  <c r="AP63" i="4" a="1"/>
  <c r="AP63" i="4" s="1"/>
  <c r="AO63" i="4" a="1"/>
  <c r="AO63" i="4" s="1"/>
  <c r="AN63" i="4" a="1"/>
  <c r="AN63" i="4" s="1"/>
  <c r="AM63" i="4" a="1"/>
  <c r="AM63" i="4" s="1"/>
  <c r="AL63" i="4" a="1"/>
  <c r="AL63" i="4" s="1"/>
  <c r="AK63" i="4" a="1"/>
  <c r="AK63" i="4" s="1"/>
  <c r="AJ63" i="4" a="1"/>
  <c r="AJ63" i="4" s="1"/>
  <c r="AI63" i="4" a="1"/>
  <c r="AI63" i="4" s="1"/>
  <c r="AH63" i="4" a="1"/>
  <c r="AH63" i="4" s="1"/>
  <c r="AG63" i="4" a="1"/>
  <c r="AG63" i="4" s="1"/>
  <c r="AF63" i="4" a="1"/>
  <c r="AF63" i="4" s="1"/>
  <c r="AE63" i="4" a="1"/>
  <c r="AE63" i="4" s="1"/>
  <c r="AD63" i="4" a="1"/>
  <c r="AD63" i="4" s="1"/>
  <c r="AC63" i="4" a="1"/>
  <c r="AC63" i="4" s="1"/>
  <c r="AB63" i="4" a="1"/>
  <c r="AB63" i="4" s="1"/>
  <c r="AA63" i="4" a="1"/>
  <c r="AA63" i="4" s="1"/>
  <c r="Z63" i="4" a="1"/>
  <c r="Z63" i="4" s="1"/>
  <c r="Y63" i="4" a="1"/>
  <c r="Y63" i="4" s="1"/>
  <c r="X63" i="4" a="1"/>
  <c r="X63" i="4" s="1"/>
  <c r="W63" i="4" a="1"/>
  <c r="W63" i="4" s="1"/>
  <c r="V63" i="4" a="1"/>
  <c r="V63" i="4" s="1"/>
  <c r="U63" i="4" a="1"/>
  <c r="U63" i="4" s="1"/>
  <c r="T63" i="4" a="1"/>
  <c r="T63" i="4" s="1"/>
  <c r="S63" i="4" a="1"/>
  <c r="S63" i="4" s="1"/>
  <c r="R63" i="4" a="1"/>
  <c r="R63" i="4" s="1"/>
  <c r="Q63" i="4" a="1"/>
  <c r="Q63" i="4" s="1"/>
  <c r="P63" i="4" a="1"/>
  <c r="P63" i="4" s="1"/>
  <c r="O63" i="4" a="1"/>
  <c r="O63" i="4" s="1"/>
  <c r="N63" i="4" a="1"/>
  <c r="N63" i="4" s="1"/>
  <c r="M63" i="4" a="1"/>
  <c r="M63" i="4" s="1"/>
  <c r="L63" i="4" a="1"/>
  <c r="L63" i="4" s="1"/>
  <c r="K63" i="4" a="1"/>
  <c r="K63" i="4" s="1"/>
  <c r="J63" i="4" a="1"/>
  <c r="J63" i="4" s="1"/>
  <c r="I63" i="4" a="1"/>
  <c r="I63" i="4" s="1"/>
  <c r="H63" i="4" a="1"/>
  <c r="H63" i="4" s="1"/>
  <c r="G63" i="4" a="1"/>
  <c r="G63" i="4" s="1"/>
  <c r="F63" i="4" a="1"/>
  <c r="F63" i="4" s="1"/>
  <c r="E63" i="4" a="1"/>
  <c r="E63" i="4" s="1"/>
  <c r="D63" i="4" a="1"/>
  <c r="D63" i="4" s="1"/>
  <c r="C60" i="4" a="1"/>
  <c r="C60" i="4" s="1"/>
  <c r="BA59" i="4"/>
  <c r="BA59" i="4" a="1"/>
  <c r="AZ59" i="4"/>
  <c r="AZ59" i="4" a="1"/>
  <c r="AY59" i="4"/>
  <c r="AY59" i="4" a="1"/>
  <c r="AX59" i="4"/>
  <c r="AX59" i="4" a="1"/>
  <c r="AW59" i="4"/>
  <c r="AW59" i="4" a="1"/>
  <c r="AV59" i="4"/>
  <c r="AV59" i="4" a="1"/>
  <c r="AU59" i="4"/>
  <c r="AU59" i="4" a="1"/>
  <c r="AT59" i="4"/>
  <c r="AT59" i="4" a="1"/>
  <c r="AS59" i="4"/>
  <c r="AS59" i="4" a="1"/>
  <c r="AR59" i="4"/>
  <c r="AR59" i="4" a="1"/>
  <c r="AQ59" i="4"/>
  <c r="AQ59" i="4" a="1"/>
  <c r="AP59" i="4"/>
  <c r="AP59" i="4" a="1"/>
  <c r="AO59" i="4"/>
  <c r="AO59" i="4" a="1"/>
  <c r="AN59" i="4"/>
  <c r="AN59" i="4" a="1"/>
  <c r="AM59" i="4"/>
  <c r="AM59" i="4" a="1"/>
  <c r="AL59" i="4"/>
  <c r="AL59" i="4" a="1"/>
  <c r="AK59" i="4"/>
  <c r="AK59" i="4" a="1"/>
  <c r="AJ59" i="4"/>
  <c r="AJ59" i="4" a="1"/>
  <c r="AI59" i="4"/>
  <c r="AI59" i="4" a="1"/>
  <c r="AH59" i="4"/>
  <c r="AH59" i="4" a="1"/>
  <c r="AG59" i="4"/>
  <c r="AG59" i="4" a="1"/>
  <c r="AF59" i="4"/>
  <c r="AF59" i="4" a="1"/>
  <c r="AE59" i="4"/>
  <c r="AE59" i="4" a="1"/>
  <c r="AD59" i="4"/>
  <c r="AD59" i="4" a="1"/>
  <c r="AC59" i="4"/>
  <c r="AC59" i="4" a="1"/>
  <c r="AB59" i="4"/>
  <c r="AB59" i="4" a="1"/>
  <c r="AA59" i="4"/>
  <c r="AA59" i="4" a="1"/>
  <c r="Z59" i="4"/>
  <c r="Z59" i="4" a="1"/>
  <c r="Y59" i="4"/>
  <c r="Y59" i="4" a="1"/>
  <c r="X59" i="4"/>
  <c r="X59" i="4" a="1"/>
  <c r="W59" i="4"/>
  <c r="W59" i="4" a="1"/>
  <c r="V59" i="4"/>
  <c r="V59" i="4" a="1"/>
  <c r="U59" i="4"/>
  <c r="U59" i="4" a="1"/>
  <c r="T59" i="4"/>
  <c r="T59" i="4" a="1"/>
  <c r="S59" i="4"/>
  <c r="S59" i="4" a="1"/>
  <c r="R59" i="4"/>
  <c r="R59" i="4" a="1"/>
  <c r="Q59" i="4"/>
  <c r="Q59" i="4" a="1"/>
  <c r="P59" i="4"/>
  <c r="P59" i="4" a="1"/>
  <c r="O59" i="4"/>
  <c r="O59" i="4" a="1"/>
  <c r="N59" i="4"/>
  <c r="N59" i="4" a="1"/>
  <c r="M59" i="4"/>
  <c r="M59" i="4" a="1"/>
  <c r="L59" i="4"/>
  <c r="L59" i="4" a="1"/>
  <c r="K59" i="4"/>
  <c r="K59" i="4" a="1"/>
  <c r="J59" i="4"/>
  <c r="J59" i="4" a="1"/>
  <c r="I59" i="4"/>
  <c r="I59" i="4" a="1"/>
  <c r="H59" i="4"/>
  <c r="H59" i="4" a="1"/>
  <c r="G59" i="4"/>
  <c r="G59" i="4" a="1"/>
  <c r="F59" i="4"/>
  <c r="F59" i="4" a="1"/>
  <c r="E59" i="4"/>
  <c r="E59" i="4" a="1"/>
  <c r="BA56" i="4"/>
  <c r="AZ56" i="4"/>
  <c r="AY56" i="4"/>
  <c r="AX56" i="4"/>
  <c r="AW56" i="4"/>
  <c r="AV56" i="4"/>
  <c r="AU56" i="4"/>
  <c r="AT56" i="4"/>
  <c r="AS56" i="4"/>
  <c r="AR56" i="4"/>
  <c r="AQ56" i="4"/>
  <c r="AP56" i="4"/>
  <c r="AO56" i="4"/>
  <c r="AN56" i="4"/>
  <c r="AM56" i="4"/>
  <c r="AL56" i="4"/>
  <c r="AK56" i="4"/>
  <c r="AJ56" i="4"/>
  <c r="AI56" i="4"/>
  <c r="AH56" i="4"/>
  <c r="AG56" i="4"/>
  <c r="AF56" i="4"/>
  <c r="AE56" i="4"/>
  <c r="AD56" i="4"/>
  <c r="AC56" i="4"/>
  <c r="AB56" i="4"/>
  <c r="AA56" i="4"/>
  <c r="Z56" i="4"/>
  <c r="Y56" i="4"/>
  <c r="X56" i="4"/>
  <c r="W56" i="4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BA55" i="4"/>
  <c r="BA55" i="4" a="1"/>
  <c r="AZ55" i="4"/>
  <c r="AZ55" i="4" a="1"/>
  <c r="AY55" i="4"/>
  <c r="AY55" i="4" a="1"/>
  <c r="AX55" i="4"/>
  <c r="AX55" i="4" a="1"/>
  <c r="AW55" i="4"/>
  <c r="AW55" i="4" a="1"/>
  <c r="AV55" i="4"/>
  <c r="AV55" i="4" a="1"/>
  <c r="AU55" i="4"/>
  <c r="AU55" i="4" a="1"/>
  <c r="AT55" i="4"/>
  <c r="AT55" i="4" a="1"/>
  <c r="AS55" i="4"/>
  <c r="AS55" i="4" a="1"/>
  <c r="AR55" i="4"/>
  <c r="AR55" i="4" a="1"/>
  <c r="AQ55" i="4"/>
  <c r="AQ55" i="4" a="1"/>
  <c r="AP55" i="4"/>
  <c r="AP55" i="4" a="1"/>
  <c r="AO55" i="4"/>
  <c r="AO55" i="4" a="1"/>
  <c r="AN55" i="4"/>
  <c r="AN55" i="4" a="1"/>
  <c r="AM55" i="4"/>
  <c r="AM55" i="4" a="1"/>
  <c r="AL55" i="4"/>
  <c r="AL55" i="4" a="1"/>
  <c r="AK55" i="4"/>
  <c r="AK55" i="4" a="1"/>
  <c r="AJ55" i="4"/>
  <c r="AJ55" i="4" a="1"/>
  <c r="AI55" i="4"/>
  <c r="AI55" i="4" a="1"/>
  <c r="AH55" i="4"/>
  <c r="AH55" i="4" a="1"/>
  <c r="AG55" i="4"/>
  <c r="AG55" i="4" a="1"/>
  <c r="AF55" i="4"/>
  <c r="AF55" i="4" a="1"/>
  <c r="AE55" i="4"/>
  <c r="AE55" i="4" a="1"/>
  <c r="AD55" i="4"/>
  <c r="AD55" i="4" a="1"/>
  <c r="AC55" i="4"/>
  <c r="AC55" i="4" a="1"/>
  <c r="AB55" i="4"/>
  <c r="AB55" i="4" a="1"/>
  <c r="AA55" i="4"/>
  <c r="AA55" i="4" a="1"/>
  <c r="Z55" i="4"/>
  <c r="Z55" i="4" a="1"/>
  <c r="Y55" i="4"/>
  <c r="Y55" i="4" a="1"/>
  <c r="X55" i="4"/>
  <c r="X55" i="4" a="1"/>
  <c r="W55" i="4"/>
  <c r="W55" i="4" a="1"/>
  <c r="V55" i="4"/>
  <c r="V55" i="4" a="1"/>
  <c r="U55" i="4"/>
  <c r="U55" i="4" a="1"/>
  <c r="T55" i="4"/>
  <c r="T55" i="4" a="1"/>
  <c r="S55" i="4"/>
  <c r="S55" i="4" a="1"/>
  <c r="R55" i="4"/>
  <c r="R55" i="4" a="1"/>
  <c r="Q55" i="4"/>
  <c r="Q55" i="4" a="1"/>
  <c r="P55" i="4"/>
  <c r="P55" i="4" a="1"/>
  <c r="O55" i="4"/>
  <c r="O55" i="4" a="1"/>
  <c r="N55" i="4"/>
  <c r="N55" i="4" a="1"/>
  <c r="M55" i="4"/>
  <c r="M55" i="4" a="1"/>
  <c r="L55" i="4"/>
  <c r="L55" i="4" a="1"/>
  <c r="K55" i="4"/>
  <c r="K55" i="4" a="1"/>
  <c r="J55" i="4"/>
  <c r="J55" i="4" a="1"/>
  <c r="I55" i="4"/>
  <c r="I55" i="4" a="1"/>
  <c r="H55" i="4"/>
  <c r="H55" i="4" a="1"/>
  <c r="G55" i="4"/>
  <c r="G55" i="4" a="1"/>
  <c r="F55" i="4"/>
  <c r="F55" i="4" a="1"/>
  <c r="E55" i="4"/>
  <c r="E55" i="4" a="1"/>
  <c r="D55" i="4"/>
  <c r="D55" i="4" a="1"/>
  <c r="BA54" i="4"/>
  <c r="BA54" i="4" a="1"/>
  <c r="AZ54" i="4"/>
  <c r="AZ54" i="4" a="1"/>
  <c r="AY54" i="4"/>
  <c r="AY54" i="4" a="1"/>
  <c r="AX54" i="4"/>
  <c r="AX54" i="4" a="1"/>
  <c r="AW54" i="4"/>
  <c r="AW54" i="4" a="1"/>
  <c r="AV54" i="4"/>
  <c r="AV54" i="4" a="1"/>
  <c r="AU54" i="4"/>
  <c r="AU54" i="4" a="1"/>
  <c r="AT54" i="4"/>
  <c r="AT54" i="4" a="1"/>
  <c r="AS54" i="4"/>
  <c r="AS54" i="4" a="1"/>
  <c r="AR54" i="4"/>
  <c r="AR54" i="4" a="1"/>
  <c r="AQ54" i="4"/>
  <c r="AQ54" i="4" a="1"/>
  <c r="AP54" i="4"/>
  <c r="AP54" i="4" a="1"/>
  <c r="AO54" i="4"/>
  <c r="AO54" i="4" a="1"/>
  <c r="AN54" i="4"/>
  <c r="AN54" i="4" a="1"/>
  <c r="AM54" i="4"/>
  <c r="AM54" i="4" a="1"/>
  <c r="AL54" i="4"/>
  <c r="AL54" i="4" a="1"/>
  <c r="AK54" i="4"/>
  <c r="AK54" i="4" a="1"/>
  <c r="AJ54" i="4"/>
  <c r="AJ54" i="4" a="1"/>
  <c r="AI54" i="4"/>
  <c r="AI54" i="4" a="1"/>
  <c r="AH54" i="4"/>
  <c r="AH54" i="4" a="1"/>
  <c r="AG54" i="4"/>
  <c r="AG54" i="4" a="1"/>
  <c r="AF54" i="4"/>
  <c r="AF54" i="4" a="1"/>
  <c r="AE54" i="4"/>
  <c r="AE54" i="4" a="1"/>
  <c r="AD54" i="4"/>
  <c r="AD54" i="4" a="1"/>
  <c r="AC54" i="4"/>
  <c r="AC54" i="4" a="1"/>
  <c r="AB54" i="4"/>
  <c r="AB54" i="4" a="1"/>
  <c r="AA54" i="4"/>
  <c r="AA54" i="4" a="1"/>
  <c r="Z54" i="4"/>
  <c r="Z54" i="4" a="1"/>
  <c r="Y54" i="4"/>
  <c r="Y54" i="4" a="1"/>
  <c r="X54" i="4"/>
  <c r="X54" i="4" a="1"/>
  <c r="W54" i="4"/>
  <c r="W54" i="4" a="1"/>
  <c r="V54" i="4"/>
  <c r="V54" i="4" a="1"/>
  <c r="U54" i="4"/>
  <c r="U54" i="4" a="1"/>
  <c r="T54" i="4"/>
  <c r="T54" i="4" a="1"/>
  <c r="S54" i="4"/>
  <c r="S54" i="4" a="1"/>
  <c r="R54" i="4"/>
  <c r="R54" i="4" a="1"/>
  <c r="Q54" i="4"/>
  <c r="Q54" i="4" a="1"/>
  <c r="P54" i="4"/>
  <c r="P54" i="4" a="1"/>
  <c r="O54" i="4"/>
  <c r="O54" i="4" a="1"/>
  <c r="N54" i="4"/>
  <c r="N54" i="4" a="1"/>
  <c r="M54" i="4"/>
  <c r="M54" i="4" a="1"/>
  <c r="L54" i="4"/>
  <c r="L54" i="4" a="1"/>
  <c r="K54" i="4"/>
  <c r="K54" i="4" a="1"/>
  <c r="J54" i="4"/>
  <c r="J54" i="4" a="1"/>
  <c r="I54" i="4"/>
  <c r="I54" i="4" a="1"/>
  <c r="H54" i="4"/>
  <c r="H54" i="4" a="1"/>
  <c r="G54" i="4"/>
  <c r="G54" i="4" a="1"/>
  <c r="F54" i="4"/>
  <c r="F54" i="4" a="1"/>
  <c r="E54" i="4"/>
  <c r="E54" i="4" a="1"/>
  <c r="D54" i="4"/>
  <c r="D54" i="4" a="1"/>
  <c r="BA53" i="4"/>
  <c r="BA53" i="4" a="1"/>
  <c r="AZ53" i="4"/>
  <c r="AZ53" i="4" a="1"/>
  <c r="AY53" i="4"/>
  <c r="AY53" i="4" a="1"/>
  <c r="AX53" i="4"/>
  <c r="AX53" i="4" a="1"/>
  <c r="AW53" i="4"/>
  <c r="AW53" i="4" a="1"/>
  <c r="AV53" i="4"/>
  <c r="AV53" i="4" a="1"/>
  <c r="AU53" i="4"/>
  <c r="AU53" i="4" a="1"/>
  <c r="AT53" i="4"/>
  <c r="AT53" i="4" a="1"/>
  <c r="AS53" i="4"/>
  <c r="AS53" i="4" a="1"/>
  <c r="AR53" i="4"/>
  <c r="AR53" i="4" a="1"/>
  <c r="AQ53" i="4"/>
  <c r="AQ53" i="4" a="1"/>
  <c r="AP53" i="4"/>
  <c r="AP53" i="4" a="1"/>
  <c r="AO53" i="4"/>
  <c r="AO53" i="4" a="1"/>
  <c r="AN53" i="4"/>
  <c r="AN53" i="4" a="1"/>
  <c r="AM53" i="4"/>
  <c r="AM53" i="4" a="1"/>
  <c r="AL53" i="4"/>
  <c r="AL53" i="4" a="1"/>
  <c r="AK53" i="4"/>
  <c r="AK53" i="4" a="1"/>
  <c r="AJ53" i="4"/>
  <c r="AJ53" i="4" a="1"/>
  <c r="AI53" i="4"/>
  <c r="AI53" i="4" a="1"/>
  <c r="AH53" i="4"/>
  <c r="AH53" i="4" a="1"/>
  <c r="AG53" i="4"/>
  <c r="AG53" i="4" a="1"/>
  <c r="AF53" i="4"/>
  <c r="AF53" i="4" a="1"/>
  <c r="AE53" i="4"/>
  <c r="AE53" i="4" a="1"/>
  <c r="AD53" i="4"/>
  <c r="AD53" i="4" a="1"/>
  <c r="AC53" i="4"/>
  <c r="AC53" i="4" a="1"/>
  <c r="AB53" i="4"/>
  <c r="AB53" i="4" a="1"/>
  <c r="AA53" i="4"/>
  <c r="AA53" i="4" a="1"/>
  <c r="Z53" i="4"/>
  <c r="Z53" i="4" a="1"/>
  <c r="Y53" i="4"/>
  <c r="Y53" i="4" a="1"/>
  <c r="X53" i="4"/>
  <c r="X53" i="4" a="1"/>
  <c r="W53" i="4"/>
  <c r="W53" i="4" a="1"/>
  <c r="V53" i="4"/>
  <c r="V53" i="4" a="1"/>
  <c r="U53" i="4"/>
  <c r="U53" i="4" a="1"/>
  <c r="T53" i="4"/>
  <c r="T53" i="4" a="1"/>
  <c r="S53" i="4"/>
  <c r="S53" i="4" a="1"/>
  <c r="R53" i="4"/>
  <c r="R53" i="4" a="1"/>
  <c r="Q53" i="4"/>
  <c r="Q53" i="4" a="1"/>
  <c r="P53" i="4"/>
  <c r="P53" i="4" a="1"/>
  <c r="O53" i="4"/>
  <c r="O53" i="4" a="1"/>
  <c r="N53" i="4"/>
  <c r="N53" i="4" a="1"/>
  <c r="M53" i="4"/>
  <c r="M53" i="4" a="1"/>
  <c r="L53" i="4"/>
  <c r="L53" i="4" a="1"/>
  <c r="K53" i="4"/>
  <c r="K53" i="4" a="1"/>
  <c r="J53" i="4"/>
  <c r="J53" i="4" a="1"/>
  <c r="I53" i="4"/>
  <c r="I53" i="4" a="1"/>
  <c r="H53" i="4"/>
  <c r="H53" i="4" a="1"/>
  <c r="G53" i="4"/>
  <c r="G53" i="4" a="1"/>
  <c r="F53" i="4"/>
  <c r="F53" i="4" a="1"/>
  <c r="E53" i="4"/>
  <c r="E53" i="4" a="1"/>
  <c r="BA52" i="4"/>
  <c r="BA52" i="4" a="1"/>
  <c r="AZ52" i="4"/>
  <c r="AZ52" i="4" a="1"/>
  <c r="AY52" i="4"/>
  <c r="AY52" i="4" a="1"/>
  <c r="AX52" i="4"/>
  <c r="AX52" i="4" a="1"/>
  <c r="AW52" i="4"/>
  <c r="AW52" i="4" a="1"/>
  <c r="AV52" i="4"/>
  <c r="AV52" i="4" a="1"/>
  <c r="AU52" i="4"/>
  <c r="AU52" i="4" a="1"/>
  <c r="AT52" i="4"/>
  <c r="AT52" i="4" a="1"/>
  <c r="AS52" i="4"/>
  <c r="AS52" i="4" a="1"/>
  <c r="AR52" i="4"/>
  <c r="AR52" i="4" a="1"/>
  <c r="AQ52" i="4"/>
  <c r="AQ52" i="4" a="1"/>
  <c r="AP52" i="4"/>
  <c r="AP52" i="4" a="1"/>
  <c r="AO52" i="4"/>
  <c r="AO52" i="4" a="1"/>
  <c r="AN52" i="4"/>
  <c r="AN52" i="4" a="1"/>
  <c r="AM52" i="4"/>
  <c r="AM52" i="4" a="1"/>
  <c r="AL52" i="4"/>
  <c r="AL52" i="4" a="1"/>
  <c r="AK52" i="4"/>
  <c r="AK52" i="4" a="1"/>
  <c r="AJ52" i="4"/>
  <c r="AJ52" i="4" a="1"/>
  <c r="AI52" i="4"/>
  <c r="AI52" i="4" a="1"/>
  <c r="AH52" i="4"/>
  <c r="AH52" i="4" a="1"/>
  <c r="AG52" i="4"/>
  <c r="AG52" i="4" a="1"/>
  <c r="AF52" i="4"/>
  <c r="AF52" i="4" a="1"/>
  <c r="AE52" i="4"/>
  <c r="AE52" i="4" a="1"/>
  <c r="AD52" i="4"/>
  <c r="AD52" i="4" a="1"/>
  <c r="AC52" i="4"/>
  <c r="AC52" i="4" a="1"/>
  <c r="AB52" i="4"/>
  <c r="AB52" i="4" a="1"/>
  <c r="AA52" i="4"/>
  <c r="AA52" i="4" a="1"/>
  <c r="Z52" i="4"/>
  <c r="Z52" i="4" a="1"/>
  <c r="Y52" i="4"/>
  <c r="Y52" i="4" a="1"/>
  <c r="X52" i="4"/>
  <c r="X52" i="4" a="1"/>
  <c r="W52" i="4"/>
  <c r="W52" i="4" a="1"/>
  <c r="V52" i="4"/>
  <c r="V52" i="4" a="1"/>
  <c r="U52" i="4"/>
  <c r="U52" i="4" a="1"/>
  <c r="T52" i="4"/>
  <c r="T52" i="4" a="1"/>
  <c r="S52" i="4"/>
  <c r="S52" i="4" a="1"/>
  <c r="R52" i="4"/>
  <c r="R52" i="4" a="1"/>
  <c r="Q52" i="4"/>
  <c r="Q52" i="4" a="1"/>
  <c r="P52" i="4"/>
  <c r="P52" i="4" a="1"/>
  <c r="O52" i="4"/>
  <c r="O52" i="4" a="1"/>
  <c r="N52" i="4"/>
  <c r="N52" i="4" a="1"/>
  <c r="M52" i="4"/>
  <c r="M52" i="4" a="1"/>
  <c r="L52" i="4"/>
  <c r="L52" i="4" a="1"/>
  <c r="K52" i="4"/>
  <c r="K52" i="4" a="1"/>
  <c r="J52" i="4"/>
  <c r="J52" i="4" a="1"/>
  <c r="I52" i="4"/>
  <c r="I52" i="4" a="1"/>
  <c r="H52" i="4"/>
  <c r="H52" i="4" a="1"/>
  <c r="G52" i="4"/>
  <c r="G52" i="4" a="1"/>
  <c r="F52" i="4"/>
  <c r="F52" i="4" a="1"/>
  <c r="E52" i="4"/>
  <c r="E52" i="4" a="1"/>
  <c r="BA51" i="4"/>
  <c r="BA51" i="4" a="1"/>
  <c r="AZ51" i="4"/>
  <c r="AZ51" i="4" a="1"/>
  <c r="AY51" i="4"/>
  <c r="AY51" i="4" a="1"/>
  <c r="AX51" i="4"/>
  <c r="AX51" i="4" a="1"/>
  <c r="AW51" i="4"/>
  <c r="AW51" i="4" a="1"/>
  <c r="AV51" i="4"/>
  <c r="AV51" i="4" a="1"/>
  <c r="AU51" i="4"/>
  <c r="AU51" i="4" a="1"/>
  <c r="AT51" i="4"/>
  <c r="AT51" i="4" a="1"/>
  <c r="AS51" i="4"/>
  <c r="AS51" i="4" a="1"/>
  <c r="AR51" i="4"/>
  <c r="AR51" i="4" a="1"/>
  <c r="AQ51" i="4"/>
  <c r="AQ51" i="4" a="1"/>
  <c r="AP51" i="4"/>
  <c r="AP51" i="4" a="1"/>
  <c r="AO51" i="4"/>
  <c r="AO51" i="4" a="1"/>
  <c r="AN51" i="4"/>
  <c r="AN51" i="4" a="1"/>
  <c r="AM51" i="4"/>
  <c r="AM51" i="4" a="1"/>
  <c r="AL51" i="4"/>
  <c r="AL51" i="4" a="1"/>
  <c r="AK51" i="4"/>
  <c r="AK51" i="4" a="1"/>
  <c r="AJ51" i="4"/>
  <c r="AJ51" i="4" a="1"/>
  <c r="AI51" i="4"/>
  <c r="AI51" i="4" a="1"/>
  <c r="AH51" i="4"/>
  <c r="AH51" i="4" a="1"/>
  <c r="AG51" i="4"/>
  <c r="AG51" i="4" a="1"/>
  <c r="AF51" i="4"/>
  <c r="AF51" i="4" a="1"/>
  <c r="AE51" i="4"/>
  <c r="AE51" i="4" a="1"/>
  <c r="AD51" i="4"/>
  <c r="AD51" i="4" a="1"/>
  <c r="AC51" i="4"/>
  <c r="AC51" i="4" a="1"/>
  <c r="AB51" i="4"/>
  <c r="AB51" i="4" a="1"/>
  <c r="AA51" i="4"/>
  <c r="AA51" i="4" a="1"/>
  <c r="Z51" i="4"/>
  <c r="Z51" i="4" a="1"/>
  <c r="Y51" i="4"/>
  <c r="Y51" i="4" a="1"/>
  <c r="X51" i="4"/>
  <c r="X51" i="4" a="1"/>
  <c r="W51" i="4"/>
  <c r="W51" i="4" a="1"/>
  <c r="V51" i="4"/>
  <c r="V51" i="4" a="1"/>
  <c r="U51" i="4"/>
  <c r="U51" i="4" a="1"/>
  <c r="T51" i="4"/>
  <c r="T51" i="4" a="1"/>
  <c r="S51" i="4"/>
  <c r="S51" i="4" a="1"/>
  <c r="R51" i="4"/>
  <c r="R51" i="4" a="1"/>
  <c r="Q51" i="4"/>
  <c r="Q51" i="4" a="1"/>
  <c r="P51" i="4"/>
  <c r="P51" i="4" a="1"/>
  <c r="O51" i="4"/>
  <c r="O51" i="4" a="1"/>
  <c r="N51" i="4"/>
  <c r="N51" i="4" a="1"/>
  <c r="M51" i="4"/>
  <c r="M51" i="4" a="1"/>
  <c r="L51" i="4"/>
  <c r="L51" i="4" a="1"/>
  <c r="K51" i="4"/>
  <c r="K51" i="4" a="1"/>
  <c r="J51" i="4"/>
  <c r="J51" i="4" a="1"/>
  <c r="I51" i="4"/>
  <c r="I51" i="4" a="1"/>
  <c r="H51" i="4"/>
  <c r="H51" i="4" a="1"/>
  <c r="G51" i="4"/>
  <c r="G51" i="4" a="1"/>
  <c r="F51" i="4"/>
  <c r="F51" i="4" a="1"/>
  <c r="E51" i="4"/>
  <c r="E51" i="4" a="1"/>
  <c r="AQ50" i="6" a="1"/>
  <c r="AQ50" i="6" s="1"/>
  <c r="B21" i="6" a="1"/>
  <c r="B21" i="6" s="1"/>
  <c r="B14" i="6"/>
  <c r="B8" i="6"/>
  <c r="B9" i="6" s="1"/>
  <c r="D262" i="6" s="1" a="1"/>
  <c r="D262" i="6" s="1"/>
  <c r="C25" i="1"/>
  <c r="C9" i="1" a="1"/>
  <c r="C9" i="1" s="1"/>
  <c r="C7" i="1"/>
  <c r="N83" i="13" l="1" a="1"/>
  <c r="N83" i="13" s="1"/>
  <c r="X105" i="13" a="1"/>
  <c r="X105" i="13" s="1"/>
  <c r="P112" i="13" a="1"/>
  <c r="P112" i="13" s="1"/>
  <c r="X106" i="13" a="1"/>
  <c r="X106" i="13" s="1"/>
  <c r="V105" i="13" a="1"/>
  <c r="V105" i="13" s="1"/>
  <c r="P104" i="13" a="1"/>
  <c r="P104" i="13" s="1"/>
  <c r="X92" i="13" a="1"/>
  <c r="X92" i="13" s="1"/>
  <c r="X107" i="13" a="1"/>
  <c r="X107" i="13" s="1"/>
  <c r="V106" i="13" a="1"/>
  <c r="V106" i="13" s="1"/>
  <c r="X108" i="13" a="1"/>
  <c r="X108" i="13" s="1"/>
  <c r="V107" i="13" a="1"/>
  <c r="V107" i="13" s="1"/>
  <c r="X109" i="13" a="1"/>
  <c r="X109" i="13" s="1"/>
  <c r="V108" i="13" a="1"/>
  <c r="V108" i="13" s="1"/>
  <c r="X110" i="13" a="1"/>
  <c r="X110" i="13" s="1"/>
  <c r="V109" i="13" a="1"/>
  <c r="V109" i="13" s="1"/>
  <c r="X104" i="13" a="1"/>
  <c r="X104" i="13" s="1"/>
  <c r="X111" i="13" a="1"/>
  <c r="X111" i="13" s="1"/>
  <c r="V110" i="13" a="1"/>
  <c r="V110" i="13" s="1"/>
  <c r="X112" i="13" a="1"/>
  <c r="X112" i="13" s="1"/>
  <c r="V111" i="13" a="1"/>
  <c r="V111" i="13" s="1"/>
  <c r="P106" i="13" a="1"/>
  <c r="P106" i="13" s="1"/>
  <c r="V104" i="13" a="1"/>
  <c r="V104" i="13" s="1"/>
  <c r="X113" i="13" a="1"/>
  <c r="X113" i="13" s="1"/>
  <c r="V112" i="13" a="1"/>
  <c r="V112" i="13" s="1"/>
  <c r="I138" i="13"/>
  <c r="X103" i="13" a="1"/>
  <c r="X103" i="13" s="1"/>
  <c r="P82" i="13" a="1"/>
  <c r="P82" i="13" s="1"/>
  <c r="P58" i="13" a="1"/>
  <c r="P58" i="13" s="1"/>
  <c r="V76" i="13" a="1"/>
  <c r="V76" i="13" s="1"/>
  <c r="X78" i="13" a="1"/>
  <c r="X78" i="13" s="1"/>
  <c r="P57" i="13" a="1"/>
  <c r="P57" i="13" s="1"/>
  <c r="V98" i="13" a="1"/>
  <c r="V98" i="13" s="1"/>
  <c r="V86" i="13" a="1"/>
  <c r="V86" i="13" s="1"/>
  <c r="V74" i="13" a="1"/>
  <c r="V74" i="13" s="1"/>
  <c r="O73" i="13" a="1"/>
  <c r="O73" i="13" s="1"/>
  <c r="N103" i="13" a="1"/>
  <c r="N103" i="13" s="1"/>
  <c r="X80" i="13" a="1"/>
  <c r="X80" i="13" s="1"/>
  <c r="N73" i="13" a="1"/>
  <c r="N73" i="13" s="1"/>
  <c r="V97" i="13" a="1"/>
  <c r="V97" i="13" s="1"/>
  <c r="X102" i="13" a="1"/>
  <c r="X102" i="13" s="1"/>
  <c r="P85" i="13" a="1"/>
  <c r="P85" i="13" s="1"/>
  <c r="N93" i="13" a="1"/>
  <c r="N93" i="13" s="1"/>
  <c r="N69" i="13" a="1"/>
  <c r="N69" i="13" s="1"/>
  <c r="V99" i="13" a="1"/>
  <c r="V99" i="13" s="1"/>
  <c r="V87" i="13" a="1"/>
  <c r="V87" i="13" s="1"/>
  <c r="V75" i="13" a="1"/>
  <c r="V75" i="13" s="1"/>
  <c r="X93" i="13" a="1"/>
  <c r="X93" i="13" s="1"/>
  <c r="X81" i="13" a="1"/>
  <c r="X81" i="13" s="1"/>
  <c r="P95" i="13" a="1"/>
  <c r="P95" i="13" s="1"/>
  <c r="P83" i="13" a="1"/>
  <c r="P83" i="13" s="1"/>
  <c r="P71" i="13" a="1"/>
  <c r="P71" i="13" s="1"/>
  <c r="P59" i="13" a="1"/>
  <c r="P59" i="13" s="1"/>
  <c r="X90" i="13" a="1"/>
  <c r="X90" i="13" s="1"/>
  <c r="P73" i="13" a="1"/>
  <c r="P73" i="13" s="1"/>
  <c r="N101" i="13" a="1"/>
  <c r="N101" i="13" s="1"/>
  <c r="N77" i="13" a="1"/>
  <c r="N77" i="13" s="1"/>
  <c r="V95" i="13" a="1"/>
  <c r="V95" i="13" s="1"/>
  <c r="V83" i="13" a="1"/>
  <c r="V83" i="13" s="1"/>
  <c r="X101" i="13" a="1"/>
  <c r="X101" i="13" s="1"/>
  <c r="X89" i="13" a="1"/>
  <c r="X89" i="13" s="1"/>
  <c r="X77" i="13" a="1"/>
  <c r="X77" i="13" s="1"/>
  <c r="P103" i="13" a="1"/>
  <c r="P103" i="13" s="1"/>
  <c r="P91" i="13" a="1"/>
  <c r="P91" i="13" s="1"/>
  <c r="P79" i="13" a="1"/>
  <c r="P79" i="13" s="1"/>
  <c r="P55" i="13" a="1"/>
  <c r="P55" i="13" s="1"/>
  <c r="V85" i="13" a="1"/>
  <c r="V85" i="13" s="1"/>
  <c r="P61" i="13" a="1"/>
  <c r="P61" i="13" s="1"/>
  <c r="P70" i="13" a="1"/>
  <c r="P70" i="13" s="1"/>
  <c r="O93" i="13" a="1"/>
  <c r="O93" i="13" s="1"/>
  <c r="V94" i="13" a="1"/>
  <c r="V94" i="13" s="1"/>
  <c r="V82" i="13" a="1"/>
  <c r="V82" i="13" s="1"/>
  <c r="X100" i="13" a="1"/>
  <c r="X100" i="13" s="1"/>
  <c r="X88" i="13" a="1"/>
  <c r="X88" i="13" s="1"/>
  <c r="X76" i="13" a="1"/>
  <c r="X76" i="13" s="1"/>
  <c r="X91" i="13" a="1"/>
  <c r="X91" i="13" s="1"/>
  <c r="P56" i="13" a="1"/>
  <c r="P56" i="13" s="1"/>
  <c r="P102" i="13" a="1"/>
  <c r="P102" i="13" s="1"/>
  <c r="V93" i="13" a="1"/>
  <c r="V93" i="13" s="1"/>
  <c r="V81" i="13" a="1"/>
  <c r="V81" i="13" s="1"/>
  <c r="X99" i="13" a="1"/>
  <c r="X99" i="13" s="1"/>
  <c r="X87" i="13" a="1"/>
  <c r="X87" i="13" s="1"/>
  <c r="X75" i="13" a="1"/>
  <c r="X75" i="13" s="1"/>
  <c r="P101" i="13" a="1"/>
  <c r="P101" i="13" s="1"/>
  <c r="P89" i="13" a="1"/>
  <c r="P89" i="13" s="1"/>
  <c r="P77" i="13" a="1"/>
  <c r="P77" i="13" s="1"/>
  <c r="P65" i="13" a="1"/>
  <c r="P65" i="13" s="1"/>
  <c r="N61" i="13" a="1"/>
  <c r="N61" i="13" s="1"/>
  <c r="X79" i="13" a="1"/>
  <c r="X79" i="13" s="1"/>
  <c r="P78" i="13" a="1"/>
  <c r="P78" i="13" s="1"/>
  <c r="P80" i="13" a="1"/>
  <c r="P80" i="13" s="1"/>
  <c r="P99" i="13" a="1"/>
  <c r="P99" i="13" s="1"/>
  <c r="V92" i="13" a="1"/>
  <c r="V92" i="13" s="1"/>
  <c r="V80" i="13" a="1"/>
  <c r="V80" i="13" s="1"/>
  <c r="X98" i="13" a="1"/>
  <c r="X98" i="13" s="1"/>
  <c r="X86" i="13" a="1"/>
  <c r="X86" i="13" s="1"/>
  <c r="X74" i="13" a="1"/>
  <c r="X74" i="13" s="1"/>
  <c r="P100" i="13" a="1"/>
  <c r="P100" i="13" s="1"/>
  <c r="P88" i="13" a="1"/>
  <c r="P88" i="13" s="1"/>
  <c r="P76" i="13" a="1"/>
  <c r="P76" i="13" s="1"/>
  <c r="P64" i="13" a="1"/>
  <c r="P64" i="13" s="1"/>
  <c r="V96" i="13" a="1"/>
  <c r="V96" i="13" s="1"/>
  <c r="P97" i="13" a="1"/>
  <c r="P97" i="13" s="1"/>
  <c r="N85" i="13" a="1"/>
  <c r="N85" i="13" s="1"/>
  <c r="V103" i="13" a="1"/>
  <c r="V103" i="13" s="1"/>
  <c r="V91" i="13" a="1"/>
  <c r="V91" i="13" s="1"/>
  <c r="V79" i="13" a="1"/>
  <c r="V79" i="13" s="1"/>
  <c r="X97" i="13" a="1"/>
  <c r="X97" i="13" s="1"/>
  <c r="X85" i="13" a="1"/>
  <c r="X85" i="13" s="1"/>
  <c r="P87" i="13" a="1"/>
  <c r="P87" i="13" s="1"/>
  <c r="P75" i="13" a="1"/>
  <c r="P75" i="13" s="1"/>
  <c r="P63" i="13" a="1"/>
  <c r="P63" i="13" s="1"/>
  <c r="P69" i="13" a="1"/>
  <c r="P69" i="13" s="1"/>
  <c r="P94" i="13" a="1"/>
  <c r="P94" i="13" s="1"/>
  <c r="V102" i="13" a="1"/>
  <c r="V102" i="13" s="1"/>
  <c r="V90" i="13" a="1"/>
  <c r="V90" i="13" s="1"/>
  <c r="V78" i="13" a="1"/>
  <c r="V78" i="13" s="1"/>
  <c r="X96" i="13" a="1"/>
  <c r="X96" i="13" s="1"/>
  <c r="X84" i="13" a="1"/>
  <c r="X84" i="13" s="1"/>
  <c r="P98" i="13" a="1"/>
  <c r="P98" i="13" s="1"/>
  <c r="P86" i="13" a="1"/>
  <c r="P86" i="13" s="1"/>
  <c r="P74" i="13" a="1"/>
  <c r="P74" i="13" s="1"/>
  <c r="P62" i="13" a="1"/>
  <c r="P62" i="13" s="1"/>
  <c r="P81" i="13" a="1"/>
  <c r="P81" i="13" s="1"/>
  <c r="P92" i="13" a="1"/>
  <c r="P92" i="13" s="1"/>
  <c r="P93" i="13" a="1"/>
  <c r="P93" i="13" s="1"/>
  <c r="V101" i="13" a="1"/>
  <c r="V101" i="13" s="1"/>
  <c r="V89" i="13" a="1"/>
  <c r="V89" i="13" s="1"/>
  <c r="V77" i="13" a="1"/>
  <c r="V77" i="13" s="1"/>
  <c r="X95" i="13" a="1"/>
  <c r="X95" i="13" s="1"/>
  <c r="X83" i="13" a="1"/>
  <c r="X83" i="13" s="1"/>
  <c r="V84" i="13" a="1"/>
  <c r="V84" i="13" s="1"/>
  <c r="P90" i="13" a="1"/>
  <c r="P90" i="13" s="1"/>
  <c r="V100" i="13" a="1"/>
  <c r="V100" i="13" s="1"/>
  <c r="V88" i="13" a="1"/>
  <c r="V88" i="13" s="1"/>
  <c r="X94" i="13" a="1"/>
  <c r="X94" i="13" s="1"/>
  <c r="X82" i="13" a="1"/>
  <c r="X82" i="13" s="1"/>
  <c r="P96" i="13" a="1"/>
  <c r="P96" i="13" s="1"/>
  <c r="P84" i="13" a="1"/>
  <c r="P84" i="13" s="1"/>
  <c r="P72" i="13" a="1"/>
  <c r="P72" i="13" s="1"/>
  <c r="P60" i="13" a="1"/>
  <c r="P60" i="13" s="1"/>
  <c r="S139" i="13"/>
  <c r="I131" i="13"/>
  <c r="Z131" i="13" s="1"/>
  <c r="I116" i="13"/>
  <c r="W116" i="13" s="1"/>
  <c r="I132" i="13"/>
  <c r="Z132" i="13" s="1"/>
  <c r="I114" i="13"/>
  <c r="Z114" i="13" s="1"/>
  <c r="I143" i="13"/>
  <c r="S105" i="13"/>
  <c r="S144" i="13"/>
  <c r="S143" i="13"/>
  <c r="S136" i="13"/>
  <c r="U59" i="13" a="1"/>
  <c r="U59" i="13" s="1"/>
  <c r="U58" i="13" a="1"/>
  <c r="U58" i="13" s="1"/>
  <c r="U60" i="13" a="1"/>
  <c r="U60" i="13" s="1"/>
  <c r="U68" i="13" a="1"/>
  <c r="U68" i="13" s="1"/>
  <c r="D70" i="4" a="1"/>
  <c r="D70" i="4" s="1"/>
  <c r="E70" i="4" s="1" a="1"/>
  <c r="E70" i="4" s="1"/>
  <c r="F70" i="4" s="1" a="1"/>
  <c r="F70" i="4" s="1"/>
  <c r="G70" i="4" s="1" a="1"/>
  <c r="G70" i="4" s="1"/>
  <c r="H70" i="4" s="1" a="1"/>
  <c r="H70" i="4" s="1"/>
  <c r="I70" i="4" s="1" a="1"/>
  <c r="I70" i="4" s="1"/>
  <c r="J70" i="4" s="1" a="1"/>
  <c r="J70" i="4" s="1"/>
  <c r="K70" i="4" s="1" a="1"/>
  <c r="K70" i="4" s="1"/>
  <c r="L70" i="4" s="1" a="1"/>
  <c r="L70" i="4" s="1"/>
  <c r="M70" i="4" s="1" a="1"/>
  <c r="M70" i="4" s="1"/>
  <c r="N70" i="4" s="1" a="1"/>
  <c r="N70" i="4" s="1"/>
  <c r="O70" i="4" s="1" a="1"/>
  <c r="O70" i="4" s="1"/>
  <c r="P70" i="4" s="1" a="1"/>
  <c r="P70" i="4" s="1"/>
  <c r="Q70" i="4" s="1" a="1"/>
  <c r="Q70" i="4" s="1"/>
  <c r="R70" i="4" s="1" a="1"/>
  <c r="R70" i="4" s="1"/>
  <c r="S70" i="4" s="1" a="1"/>
  <c r="S70" i="4" s="1"/>
  <c r="T70" i="4" s="1" a="1"/>
  <c r="T70" i="4" s="1"/>
  <c r="U70" i="4" s="1" a="1"/>
  <c r="U70" i="4" s="1"/>
  <c r="V70" i="4" s="1" a="1"/>
  <c r="V70" i="4" s="1"/>
  <c r="W70" i="4" s="1" a="1"/>
  <c r="W70" i="4" s="1"/>
  <c r="X70" i="4" s="1" a="1"/>
  <c r="X70" i="4" s="1"/>
  <c r="Y70" i="4" s="1" a="1"/>
  <c r="Y70" i="4" s="1"/>
  <c r="Z70" i="4" s="1" a="1"/>
  <c r="Z70" i="4" s="1"/>
  <c r="AA70" i="4" s="1" a="1"/>
  <c r="AA70" i="4" s="1"/>
  <c r="AB70" i="4" s="1" a="1"/>
  <c r="AB70" i="4" s="1"/>
  <c r="AC70" i="4" s="1" a="1"/>
  <c r="AC70" i="4" s="1"/>
  <c r="AD70" i="4" s="1" a="1"/>
  <c r="AD70" i="4" s="1"/>
  <c r="AE70" i="4" s="1" a="1"/>
  <c r="AE70" i="4" s="1"/>
  <c r="AF70" i="4" s="1" a="1"/>
  <c r="AF70" i="4" s="1"/>
  <c r="AG70" i="4" s="1" a="1"/>
  <c r="AG70" i="4" s="1"/>
  <c r="AH70" i="4" s="1" a="1"/>
  <c r="AH70" i="4" s="1"/>
  <c r="AI70" i="4" s="1" a="1"/>
  <c r="AI70" i="4" s="1"/>
  <c r="AJ70" i="4" s="1" a="1"/>
  <c r="AJ70" i="4" s="1"/>
  <c r="AK70" i="4" s="1" a="1"/>
  <c r="AK70" i="4" s="1"/>
  <c r="AL70" i="4" s="1" a="1"/>
  <c r="AL70" i="4" s="1"/>
  <c r="AM70" i="4" s="1" a="1"/>
  <c r="AM70" i="4" s="1"/>
  <c r="AN70" i="4" s="1" a="1"/>
  <c r="AN70" i="4" s="1"/>
  <c r="AO70" i="4" s="1" a="1"/>
  <c r="AO70" i="4" s="1"/>
  <c r="AP70" i="4" s="1" a="1"/>
  <c r="AP70" i="4" s="1"/>
  <c r="AQ70" i="4" s="1" a="1"/>
  <c r="AQ70" i="4" s="1"/>
  <c r="AR70" i="4" s="1" a="1"/>
  <c r="AR70" i="4" s="1"/>
  <c r="AS70" i="4" s="1" a="1"/>
  <c r="AS70" i="4" s="1"/>
  <c r="AT70" i="4" s="1" a="1"/>
  <c r="AT70" i="4" s="1"/>
  <c r="AU70" i="4" s="1" a="1"/>
  <c r="AU70" i="4" s="1"/>
  <c r="AV70" i="4" s="1" a="1"/>
  <c r="AV70" i="4" s="1"/>
  <c r="AW70" i="4" s="1" a="1"/>
  <c r="AW70" i="4" s="1"/>
  <c r="AX70" i="4" s="1" a="1"/>
  <c r="AX70" i="4" s="1"/>
  <c r="AY70" i="4" s="1" a="1"/>
  <c r="AY70" i="4" s="1"/>
  <c r="AZ70" i="4" s="1" a="1"/>
  <c r="AZ70" i="4" s="1"/>
  <c r="BA70" i="4" s="1" a="1"/>
  <c r="BA70" i="4" s="1"/>
  <c r="U62" i="13" a="1"/>
  <c r="U62" i="13" s="1"/>
  <c r="U63" i="13" a="1"/>
  <c r="U63" i="13" s="1"/>
  <c r="U57" i="13" a="1"/>
  <c r="U57" i="13" s="1"/>
  <c r="U67" i="13" a="1"/>
  <c r="U67" i="13" s="1"/>
  <c r="U66" i="13" a="1"/>
  <c r="U66" i="13" s="1"/>
  <c r="S118" i="13"/>
  <c r="S119" i="13"/>
  <c r="S151" i="13"/>
  <c r="S153" i="13"/>
  <c r="S127" i="13"/>
  <c r="AG54" i="13"/>
  <c r="AG55" i="13" s="1"/>
  <c r="AG56" i="13" s="1"/>
  <c r="AG57" i="13" s="1"/>
  <c r="AG58" i="13" s="1"/>
  <c r="D85" i="4"/>
  <c r="E85" i="4" s="1"/>
  <c r="F85" i="4" s="1"/>
  <c r="G85" i="4" s="1"/>
  <c r="H85" i="4" s="1"/>
  <c r="I85" i="4" s="1"/>
  <c r="J85" i="4" s="1"/>
  <c r="K85" i="4" s="1"/>
  <c r="L85" i="4" s="1"/>
  <c r="M85" i="4" s="1"/>
  <c r="N85" i="4" s="1"/>
  <c r="O85" i="4" s="1"/>
  <c r="P85" i="4" s="1"/>
  <c r="Q85" i="4" s="1"/>
  <c r="R85" i="4" s="1"/>
  <c r="S85" i="4" s="1"/>
  <c r="T85" i="4" s="1"/>
  <c r="U85" i="4" s="1"/>
  <c r="V85" i="4" s="1"/>
  <c r="W85" i="4" s="1"/>
  <c r="C10" i="1"/>
  <c r="S113" i="13"/>
  <c r="S108" i="13"/>
  <c r="S124" i="13"/>
  <c r="S152" i="13"/>
  <c r="S150" i="13"/>
  <c r="S149" i="13"/>
  <c r="S142" i="13"/>
  <c r="S141" i="13"/>
  <c r="S140" i="13"/>
  <c r="S148" i="13"/>
  <c r="S133" i="13"/>
  <c r="S106" i="13"/>
  <c r="S137" i="13"/>
  <c r="I152" i="13"/>
  <c r="S122" i="13"/>
  <c r="I135" i="13"/>
  <c r="W135" i="13" s="1"/>
  <c r="S132" i="13"/>
  <c r="S115" i="13"/>
  <c r="S114" i="13"/>
  <c r="I151" i="13"/>
  <c r="S147" i="13"/>
  <c r="S146" i="13"/>
  <c r="I134" i="13"/>
  <c r="S131" i="13"/>
  <c r="I129" i="13"/>
  <c r="Z129" i="13" s="1"/>
  <c r="S126" i="13"/>
  <c r="S145" i="13"/>
  <c r="S107" i="13"/>
  <c r="I149" i="13"/>
  <c r="Z149" i="13" s="1"/>
  <c r="S135" i="13"/>
  <c r="S130" i="13"/>
  <c r="I122" i="13"/>
  <c r="I148" i="13"/>
  <c r="W148" i="13" s="1"/>
  <c r="S134" i="13"/>
  <c r="I147" i="13"/>
  <c r="W147" i="13" s="1"/>
  <c r="I141" i="13"/>
  <c r="S138" i="13"/>
  <c r="S129" i="13"/>
  <c r="I126" i="13"/>
  <c r="W126" i="13" s="1"/>
  <c r="S123" i="13"/>
  <c r="S116" i="13"/>
  <c r="I115" i="13"/>
  <c r="S125" i="13"/>
  <c r="S112" i="13"/>
  <c r="I119" i="13"/>
  <c r="W119" i="13" s="1"/>
  <c r="Z138" i="13"/>
  <c r="W138" i="13"/>
  <c r="S121" i="13"/>
  <c r="I118" i="13"/>
  <c r="W118" i="13" s="1"/>
  <c r="S120" i="13"/>
  <c r="S128" i="13"/>
  <c r="I123" i="13"/>
  <c r="S109" i="13"/>
  <c r="I146" i="13"/>
  <c r="I153" i="13"/>
  <c r="I150" i="13"/>
  <c r="I144" i="13"/>
  <c r="I139" i="13"/>
  <c r="I136" i="13"/>
  <c r="I133" i="13"/>
  <c r="I130" i="13"/>
  <c r="I127" i="13"/>
  <c r="I124" i="13"/>
  <c r="S111" i="13"/>
  <c r="I142" i="13"/>
  <c r="S110" i="13"/>
  <c r="I140" i="13"/>
  <c r="I137" i="13"/>
  <c r="I128" i="13"/>
  <c r="I125" i="13"/>
  <c r="I145" i="13"/>
  <c r="I120" i="13"/>
  <c r="S117" i="13"/>
  <c r="I121" i="13"/>
  <c r="I117" i="13"/>
  <c r="G55" i="13"/>
  <c r="G56" i="13" s="1"/>
  <c r="V56" i="13" a="1"/>
  <c r="V56" i="13" s="1"/>
  <c r="X56" i="13" a="1"/>
  <c r="X56" i="13" s="1"/>
  <c r="U56" i="13" a="1"/>
  <c r="U56" i="13" s="1"/>
  <c r="V55" i="13" a="1"/>
  <c r="V55" i="13" s="1"/>
  <c r="U54" i="13" a="1"/>
  <c r="U54" i="13" s="1"/>
  <c r="V57" i="13" a="1"/>
  <c r="V57" i="13" s="1"/>
  <c r="X58" i="13" a="1"/>
  <c r="X58" i="13" s="1"/>
  <c r="V61" i="13" a="1"/>
  <c r="V61" i="13" s="1"/>
  <c r="X57" i="13" a="1"/>
  <c r="X57" i="13" s="1"/>
  <c r="V60" i="13" a="1"/>
  <c r="V60" i="13" s="1"/>
  <c r="V58" i="13" a="1"/>
  <c r="V58" i="13" s="1"/>
  <c r="V62" i="13" a="1"/>
  <c r="V62" i="13" s="1"/>
  <c r="X59" i="13" a="1"/>
  <c r="X59" i="13" s="1"/>
  <c r="U55" i="13" a="1"/>
  <c r="U55" i="13" s="1"/>
  <c r="U61" i="13" a="1"/>
  <c r="U61" i="13" s="1"/>
  <c r="V69" i="13" a="1"/>
  <c r="V69" i="13" s="1"/>
  <c r="X60" i="13" a="1"/>
  <c r="X60" i="13" s="1"/>
  <c r="V64" i="13" a="1"/>
  <c r="V64" i="13" s="1"/>
  <c r="V59" i="13" a="1"/>
  <c r="V59" i="13" s="1"/>
  <c r="U65" i="13" a="1"/>
  <c r="U65" i="13" s="1"/>
  <c r="V63" i="13" a="1"/>
  <c r="V63" i="13" s="1"/>
  <c r="X73" i="13" a="1"/>
  <c r="X73" i="13" s="1"/>
  <c r="V73" i="13" a="1"/>
  <c r="V73" i="13" s="1"/>
  <c r="X72" i="13" a="1"/>
  <c r="X72" i="13" s="1"/>
  <c r="V72" i="13" a="1"/>
  <c r="V72" i="13" s="1"/>
  <c r="X71" i="13" a="1"/>
  <c r="X71" i="13" s="1"/>
  <c r="V71" i="13" a="1"/>
  <c r="V71" i="13" s="1"/>
  <c r="X70" i="13" a="1"/>
  <c r="X70" i="13" s="1"/>
  <c r="V70" i="13" a="1"/>
  <c r="V70" i="13" s="1"/>
  <c r="X69" i="13" a="1"/>
  <c r="X69" i="13" s="1"/>
  <c r="P68" i="13" a="1"/>
  <c r="P68" i="13" s="1"/>
  <c r="V68" i="13" a="1"/>
  <c r="V68" i="13" s="1"/>
  <c r="P67" i="13" a="1"/>
  <c r="P67" i="13" s="1"/>
  <c r="U64" i="13" a="1"/>
  <c r="U64" i="13" s="1"/>
  <c r="V67" i="13" a="1"/>
  <c r="V67" i="13" s="1"/>
  <c r="P66" i="13" a="1"/>
  <c r="P66" i="13" s="1"/>
  <c r="V66" i="13" a="1"/>
  <c r="V66" i="13" s="1"/>
  <c r="V65" i="13" a="1"/>
  <c r="V65" i="13" s="1"/>
  <c r="X68" i="13" a="1"/>
  <c r="X68" i="13" s="1"/>
  <c r="X67" i="13" a="1"/>
  <c r="X67" i="13" s="1"/>
  <c r="O68" i="13" a="1"/>
  <c r="O68" i="13" s="1"/>
  <c r="N68" i="13" a="1"/>
  <c r="N68" i="13" s="1"/>
  <c r="X66" i="13" a="1"/>
  <c r="X66" i="13" s="1"/>
  <c r="O67" i="13" a="1"/>
  <c r="O67" i="13" s="1"/>
  <c r="N67" i="13" a="1"/>
  <c r="N67" i="13" s="1"/>
  <c r="X65" i="13" a="1"/>
  <c r="X65" i="13" s="1"/>
  <c r="O66" i="13" a="1"/>
  <c r="O66" i="13" s="1"/>
  <c r="N66" i="13" a="1"/>
  <c r="N66" i="13" s="1"/>
  <c r="X64" i="13" a="1"/>
  <c r="X64" i="13" s="1"/>
  <c r="O65" i="13" a="1"/>
  <c r="O65" i="13" s="1"/>
  <c r="N65" i="13" a="1"/>
  <c r="N65" i="13" s="1"/>
  <c r="O64" i="13" a="1"/>
  <c r="O64" i="13" s="1"/>
  <c r="N63" i="13" a="1"/>
  <c r="N63" i="13" s="1"/>
  <c r="O63" i="13" a="1"/>
  <c r="O63" i="13" s="1"/>
  <c r="X63" i="13" a="1"/>
  <c r="X63" i="13" s="1"/>
  <c r="X62" i="13" a="1"/>
  <c r="X62" i="13" s="1"/>
  <c r="X61" i="13" a="1"/>
  <c r="X61" i="13" s="1"/>
  <c r="D17" i="6" a="1"/>
  <c r="D17" i="6" s="1"/>
  <c r="F17" i="6" s="1"/>
  <c r="D45" i="6" a="1"/>
  <c r="D45" i="6" s="1"/>
  <c r="F45" i="6" s="1"/>
  <c r="D48" i="6" a="1"/>
  <c r="D48" i="6" s="1"/>
  <c r="F48" i="6" s="1"/>
  <c r="D77" i="6" a="1"/>
  <c r="D77" i="6" s="1"/>
  <c r="F77" i="6" s="1"/>
  <c r="D83" i="6" a="1"/>
  <c r="D83" i="6" s="1"/>
  <c r="D125" i="6" a="1"/>
  <c r="D125" i="6" s="1"/>
  <c r="E125" i="6" s="1"/>
  <c r="D19" i="6" a="1"/>
  <c r="D19" i="6" s="1"/>
  <c r="E19" i="6" s="1"/>
  <c r="D7" i="6" a="1"/>
  <c r="D7" i="6" s="1"/>
  <c r="F262" i="6"/>
  <c r="E262" i="6"/>
  <c r="D27" i="6" a="1"/>
  <c r="D27" i="6" s="1"/>
  <c r="D221" i="6" a="1"/>
  <c r="D221" i="6" s="1"/>
  <c r="D611" i="6" a="1"/>
  <c r="D611" i="6" s="1"/>
  <c r="D605" i="6" a="1"/>
  <c r="D605" i="6" s="1"/>
  <c r="D599" i="6" a="1"/>
  <c r="D599" i="6" s="1"/>
  <c r="D593" i="6" a="1"/>
  <c r="D593" i="6" s="1"/>
  <c r="D587" i="6" a="1"/>
  <c r="D587" i="6" s="1"/>
  <c r="D581" i="6" a="1"/>
  <c r="D581" i="6" s="1"/>
  <c r="D575" i="6" a="1"/>
  <c r="D575" i="6" s="1"/>
  <c r="D569" i="6" a="1"/>
  <c r="D569" i="6" s="1"/>
  <c r="D607" i="6" a="1"/>
  <c r="D607" i="6" s="1"/>
  <c r="D601" i="6" a="1"/>
  <c r="D601" i="6" s="1"/>
  <c r="D606" i="6" a="1"/>
  <c r="D606" i="6" s="1"/>
  <c r="D600" i="6" a="1"/>
  <c r="D600" i="6" s="1"/>
  <c r="D594" i="6" a="1"/>
  <c r="D594" i="6" s="1"/>
  <c r="D588" i="6" a="1"/>
  <c r="D588" i="6" s="1"/>
  <c r="D582" i="6" a="1"/>
  <c r="D582" i="6" s="1"/>
  <c r="D576" i="6" a="1"/>
  <c r="D576" i="6" s="1"/>
  <c r="D604" i="6" a="1"/>
  <c r="D604" i="6" s="1"/>
  <c r="D568" i="6" a="1"/>
  <c r="D568" i="6" s="1"/>
  <c r="D562" i="6" a="1"/>
  <c r="D562" i="6" s="1"/>
  <c r="D556" i="6" a="1"/>
  <c r="D556" i="6" s="1"/>
  <c r="D550" i="6" a="1"/>
  <c r="D550" i="6" s="1"/>
  <c r="D544" i="6" a="1"/>
  <c r="D544" i="6" s="1"/>
  <c r="D538" i="6" a="1"/>
  <c r="D538" i="6" s="1"/>
  <c r="D610" i="6" a="1"/>
  <c r="D610" i="6" s="1"/>
  <c r="D586" i="6" a="1"/>
  <c r="D586" i="6" s="1"/>
  <c r="D585" i="6" a="1"/>
  <c r="D585" i="6" s="1"/>
  <c r="D584" i="6" a="1"/>
  <c r="D584" i="6" s="1"/>
  <c r="D583" i="6" a="1"/>
  <c r="D583" i="6" s="1"/>
  <c r="D592" i="6" a="1"/>
  <c r="D592" i="6" s="1"/>
  <c r="D591" i="6" a="1"/>
  <c r="D591" i="6" s="1"/>
  <c r="D590" i="6" a="1"/>
  <c r="D590" i="6" s="1"/>
  <c r="D589" i="6" a="1"/>
  <c r="D589" i="6" s="1"/>
  <c r="D598" i="6" a="1"/>
  <c r="D598" i="6" s="1"/>
  <c r="D597" i="6" a="1"/>
  <c r="D597" i="6" s="1"/>
  <c r="D596" i="6" a="1"/>
  <c r="D596" i="6" s="1"/>
  <c r="D595" i="6" a="1"/>
  <c r="D595" i="6" s="1"/>
  <c r="D565" i="6" a="1"/>
  <c r="D565" i="6" s="1"/>
  <c r="D559" i="6" a="1"/>
  <c r="D559" i="6" s="1"/>
  <c r="D608" i="6" a="1"/>
  <c r="D608" i="6" s="1"/>
  <c r="D602" i="6" a="1"/>
  <c r="D602" i="6" s="1"/>
  <c r="D570" i="6" a="1"/>
  <c r="D570" i="6" s="1"/>
  <c r="D563" i="6" a="1"/>
  <c r="D563" i="6" s="1"/>
  <c r="D557" i="6" a="1"/>
  <c r="D557" i="6" s="1"/>
  <c r="D551" i="6" a="1"/>
  <c r="D551" i="6" s="1"/>
  <c r="D545" i="6" a="1"/>
  <c r="D545" i="6" s="1"/>
  <c r="D539" i="6" a="1"/>
  <c r="D539" i="6" s="1"/>
  <c r="D553" i="6" a="1"/>
  <c r="D553" i="6" s="1"/>
  <c r="D541" i="6" a="1"/>
  <c r="D541" i="6" s="1"/>
  <c r="D609" i="6" a="1"/>
  <c r="D609" i="6" s="1"/>
  <c r="D603" i="6" a="1"/>
  <c r="D603" i="6" s="1"/>
  <c r="D578" i="6" a="1"/>
  <c r="D578" i="6" s="1"/>
  <c r="D573" i="6" a="1"/>
  <c r="D573" i="6" s="1"/>
  <c r="D558" i="6" a="1"/>
  <c r="D558" i="6" s="1"/>
  <c r="D546" i="6" a="1"/>
  <c r="D546" i="6" s="1"/>
  <c r="D534" i="6" a="1"/>
  <c r="D534" i="6" s="1"/>
  <c r="D528" i="6" a="1"/>
  <c r="D528" i="6" s="1"/>
  <c r="D522" i="6" a="1"/>
  <c r="D522" i="6" s="1"/>
  <c r="D516" i="6" a="1"/>
  <c r="D516" i="6" s="1"/>
  <c r="D510" i="6" a="1"/>
  <c r="D510" i="6" s="1"/>
  <c r="D504" i="6" a="1"/>
  <c r="D504" i="6" s="1"/>
  <c r="D498" i="6" a="1"/>
  <c r="D498" i="6" s="1"/>
  <c r="D564" i="6" a="1"/>
  <c r="D564" i="6" s="1"/>
  <c r="D560" i="6" a="1"/>
  <c r="D560" i="6" s="1"/>
  <c r="D580" i="6" a="1"/>
  <c r="D580" i="6" s="1"/>
  <c r="D566" i="6" a="1"/>
  <c r="D566" i="6" s="1"/>
  <c r="D533" i="6" a="1"/>
  <c r="D533" i="6" s="1"/>
  <c r="D527" i="6" a="1"/>
  <c r="D527" i="6" s="1"/>
  <c r="D521" i="6" a="1"/>
  <c r="D521" i="6" s="1"/>
  <c r="D515" i="6" a="1"/>
  <c r="D515" i="6" s="1"/>
  <c r="D509" i="6" a="1"/>
  <c r="D509" i="6" s="1"/>
  <c r="D503" i="6" a="1"/>
  <c r="D503" i="6" s="1"/>
  <c r="D497" i="6" a="1"/>
  <c r="D497" i="6" s="1"/>
  <c r="D549" i="6" a="1"/>
  <c r="D549" i="6" s="1"/>
  <c r="D554" i="6" a="1"/>
  <c r="D554" i="6" s="1"/>
  <c r="D542" i="6" a="1"/>
  <c r="D542" i="6" s="1"/>
  <c r="D532" i="6" a="1"/>
  <c r="D532" i="6" s="1"/>
  <c r="D526" i="6" a="1"/>
  <c r="D526" i="6" s="1"/>
  <c r="D520" i="6" a="1"/>
  <c r="D520" i="6" s="1"/>
  <c r="D514" i="6" a="1"/>
  <c r="D514" i="6" s="1"/>
  <c r="D508" i="6" a="1"/>
  <c r="D508" i="6" s="1"/>
  <c r="D502" i="6" a="1"/>
  <c r="D502" i="6" s="1"/>
  <c r="D496" i="6" a="1"/>
  <c r="D496" i="6" s="1"/>
  <c r="D552" i="6" a="1"/>
  <c r="D552" i="6" s="1"/>
  <c r="D540" i="6" a="1"/>
  <c r="D540" i="6" s="1"/>
  <c r="D537" i="6" a="1"/>
  <c r="D537" i="6" s="1"/>
  <c r="D531" i="6" a="1"/>
  <c r="D531" i="6" s="1"/>
  <c r="D525" i="6" a="1"/>
  <c r="D525" i="6" s="1"/>
  <c r="D579" i="6" a="1"/>
  <c r="D579" i="6" s="1"/>
  <c r="D574" i="6" a="1"/>
  <c r="D574" i="6" s="1"/>
  <c r="D561" i="6" a="1"/>
  <c r="D561" i="6" s="1"/>
  <c r="D513" i="6" a="1"/>
  <c r="D513" i="6" s="1"/>
  <c r="D506" i="6" a="1"/>
  <c r="D506" i="6" s="1"/>
  <c r="D494" i="6" a="1"/>
  <c r="D494" i="6" s="1"/>
  <c r="D488" i="6" a="1"/>
  <c r="D488" i="6" s="1"/>
  <c r="D482" i="6" a="1"/>
  <c r="D482" i="6" s="1"/>
  <c r="D476" i="6" a="1"/>
  <c r="D476" i="6" s="1"/>
  <c r="D470" i="6" a="1"/>
  <c r="D470" i="6" s="1"/>
  <c r="D464" i="6" a="1"/>
  <c r="D464" i="6" s="1"/>
  <c r="D458" i="6" a="1"/>
  <c r="D458" i="6" s="1"/>
  <c r="D452" i="6" a="1"/>
  <c r="D452" i="6" s="1"/>
  <c r="D567" i="6" a="1"/>
  <c r="D567" i="6" s="1"/>
  <c r="D536" i="6" a="1"/>
  <c r="D536" i="6" s="1"/>
  <c r="D519" i="6" a="1"/>
  <c r="D519" i="6" s="1"/>
  <c r="D555" i="6" a="1"/>
  <c r="D555" i="6" s="1"/>
  <c r="D517" i="6" a="1"/>
  <c r="D517" i="6" s="1"/>
  <c r="D511" i="6" a="1"/>
  <c r="D511" i="6" s="1"/>
  <c r="D493" i="6" a="1"/>
  <c r="D493" i="6" s="1"/>
  <c r="D487" i="6" a="1"/>
  <c r="D487" i="6" s="1"/>
  <c r="D481" i="6" a="1"/>
  <c r="D481" i="6" s="1"/>
  <c r="D475" i="6" a="1"/>
  <c r="D475" i="6" s="1"/>
  <c r="D469" i="6" a="1"/>
  <c r="D469" i="6" s="1"/>
  <c r="D523" i="6" a="1"/>
  <c r="D523" i="6" s="1"/>
  <c r="D499" i="6" a="1"/>
  <c r="D499" i="6" s="1"/>
  <c r="D572" i="6" a="1"/>
  <c r="D572" i="6" s="1"/>
  <c r="D492" i="6" a="1"/>
  <c r="D492" i="6" s="1"/>
  <c r="D486" i="6" a="1"/>
  <c r="D486" i="6" s="1"/>
  <c r="D480" i="6" a="1"/>
  <c r="D480" i="6" s="1"/>
  <c r="D474" i="6" a="1"/>
  <c r="D474" i="6" s="1"/>
  <c r="D468" i="6" a="1"/>
  <c r="D468" i="6" s="1"/>
  <c r="D462" i="6" a="1"/>
  <c r="D462" i="6" s="1"/>
  <c r="D456" i="6" a="1"/>
  <c r="D456" i="6" s="1"/>
  <c r="D450" i="6" a="1"/>
  <c r="D450" i="6" s="1"/>
  <c r="D530" i="6" a="1"/>
  <c r="D530" i="6" s="1"/>
  <c r="D507" i="6" a="1"/>
  <c r="D507" i="6" s="1"/>
  <c r="D543" i="6" a="1"/>
  <c r="D543" i="6" s="1"/>
  <c r="D512" i="6" a="1"/>
  <c r="D512" i="6" s="1"/>
  <c r="D500" i="6" a="1"/>
  <c r="D500" i="6" s="1"/>
  <c r="D491" i="6" a="1"/>
  <c r="D491" i="6" s="1"/>
  <c r="D485" i="6" a="1"/>
  <c r="D485" i="6" s="1"/>
  <c r="D479" i="6" a="1"/>
  <c r="D479" i="6" s="1"/>
  <c r="D473" i="6" a="1"/>
  <c r="D473" i="6" s="1"/>
  <c r="D467" i="6" a="1"/>
  <c r="D467" i="6" s="1"/>
  <c r="D461" i="6" a="1"/>
  <c r="D461" i="6" s="1"/>
  <c r="D455" i="6" a="1"/>
  <c r="D455" i="6" s="1"/>
  <c r="D571" i="6" a="1"/>
  <c r="D571" i="6" s="1"/>
  <c r="D548" i="6" a="1"/>
  <c r="D548" i="6" s="1"/>
  <c r="D535" i="6" a="1"/>
  <c r="D535" i="6" s="1"/>
  <c r="D518" i="6" a="1"/>
  <c r="D518" i="6" s="1"/>
  <c r="D547" i="6" a="1"/>
  <c r="D547" i="6" s="1"/>
  <c r="D505" i="6" a="1"/>
  <c r="D505" i="6" s="1"/>
  <c r="D490" i="6" a="1"/>
  <c r="D490" i="6" s="1"/>
  <c r="D484" i="6" a="1"/>
  <c r="D484" i="6" s="1"/>
  <c r="D478" i="6" a="1"/>
  <c r="D478" i="6" s="1"/>
  <c r="D472" i="6" a="1"/>
  <c r="D472" i="6" s="1"/>
  <c r="D577" i="6" a="1"/>
  <c r="D577" i="6" s="1"/>
  <c r="D524" i="6" a="1"/>
  <c r="D524" i="6" s="1"/>
  <c r="D471" i="6" a="1"/>
  <c r="D471" i="6" s="1"/>
  <c r="D453" i="6" a="1"/>
  <c r="D453" i="6" s="1"/>
  <c r="D451" i="6" a="1"/>
  <c r="D451" i="6" s="1"/>
  <c r="D444" i="6" a="1"/>
  <c r="D444" i="6" s="1"/>
  <c r="D438" i="6" a="1"/>
  <c r="D438" i="6" s="1"/>
  <c r="D432" i="6" a="1"/>
  <c r="D432" i="6" s="1"/>
  <c r="D426" i="6" a="1"/>
  <c r="D426" i="6" s="1"/>
  <c r="D420" i="6" a="1"/>
  <c r="D420" i="6" s="1"/>
  <c r="D414" i="6" a="1"/>
  <c r="D414" i="6" s="1"/>
  <c r="D408" i="6" a="1"/>
  <c r="D408" i="6" s="1"/>
  <c r="D402" i="6" a="1"/>
  <c r="D402" i="6" s="1"/>
  <c r="D396" i="6" a="1"/>
  <c r="D396" i="6" s="1"/>
  <c r="D459" i="6" a="1"/>
  <c r="D459" i="6" s="1"/>
  <c r="D457" i="6" a="1"/>
  <c r="D457" i="6" s="1"/>
  <c r="D466" i="6" a="1"/>
  <c r="D466" i="6" s="1"/>
  <c r="D449" i="6" a="1"/>
  <c r="D449" i="6" s="1"/>
  <c r="D443" i="6" a="1"/>
  <c r="D443" i="6" s="1"/>
  <c r="D437" i="6" a="1"/>
  <c r="D437" i="6" s="1"/>
  <c r="D431" i="6" a="1"/>
  <c r="D431" i="6" s="1"/>
  <c r="D425" i="6" a="1"/>
  <c r="D425" i="6" s="1"/>
  <c r="D419" i="6" a="1"/>
  <c r="D419" i="6" s="1"/>
  <c r="D413" i="6" a="1"/>
  <c r="D413" i="6" s="1"/>
  <c r="D407" i="6" a="1"/>
  <c r="D407" i="6" s="1"/>
  <c r="D401" i="6" a="1"/>
  <c r="D401" i="6" s="1"/>
  <c r="D395" i="6" a="1"/>
  <c r="D395" i="6" s="1"/>
  <c r="D495" i="6" a="1"/>
  <c r="D495" i="6" s="1"/>
  <c r="D448" i="6" a="1"/>
  <c r="D448" i="6" s="1"/>
  <c r="D442" i="6" a="1"/>
  <c r="D442" i="6" s="1"/>
  <c r="D436" i="6" a="1"/>
  <c r="D436" i="6" s="1"/>
  <c r="D430" i="6" a="1"/>
  <c r="D430" i="6" s="1"/>
  <c r="D424" i="6" a="1"/>
  <c r="D424" i="6" s="1"/>
  <c r="D418" i="6" a="1"/>
  <c r="D418" i="6" s="1"/>
  <c r="D412" i="6" a="1"/>
  <c r="D412" i="6" s="1"/>
  <c r="D406" i="6" a="1"/>
  <c r="D406" i="6" s="1"/>
  <c r="D400" i="6" a="1"/>
  <c r="D400" i="6" s="1"/>
  <c r="D394" i="6" a="1"/>
  <c r="D394" i="6" s="1"/>
  <c r="D529" i="6" a="1"/>
  <c r="D529" i="6" s="1"/>
  <c r="D463" i="6" a="1"/>
  <c r="D463" i="6" s="1"/>
  <c r="D489" i="6" a="1"/>
  <c r="D489" i="6" s="1"/>
  <c r="D454" i="6" a="1"/>
  <c r="D454" i="6" s="1"/>
  <c r="D447" i="6" a="1"/>
  <c r="D447" i="6" s="1"/>
  <c r="D441" i="6" a="1"/>
  <c r="D441" i="6" s="1"/>
  <c r="D435" i="6" a="1"/>
  <c r="D435" i="6" s="1"/>
  <c r="D429" i="6" a="1"/>
  <c r="D429" i="6" s="1"/>
  <c r="D423" i="6" a="1"/>
  <c r="D423" i="6" s="1"/>
  <c r="D417" i="6" a="1"/>
  <c r="D417" i="6" s="1"/>
  <c r="D411" i="6" a="1"/>
  <c r="D411" i="6" s="1"/>
  <c r="D405" i="6" a="1"/>
  <c r="D405" i="6" s="1"/>
  <c r="D399" i="6" a="1"/>
  <c r="D399" i="6" s="1"/>
  <c r="D393" i="6" a="1"/>
  <c r="D393" i="6" s="1"/>
  <c r="D465" i="6" a="1"/>
  <c r="D465" i="6" s="1"/>
  <c r="D460" i="6" a="1"/>
  <c r="D460" i="6" s="1"/>
  <c r="D501" i="6" a="1"/>
  <c r="D501" i="6" s="1"/>
  <c r="D389" i="6" a="1"/>
  <c r="D389" i="6" s="1"/>
  <c r="D383" i="6" a="1"/>
  <c r="D383" i="6" s="1"/>
  <c r="D377" i="6" a="1"/>
  <c r="D377" i="6" s="1"/>
  <c r="D371" i="6" a="1"/>
  <c r="D371" i="6" s="1"/>
  <c r="D365" i="6" a="1"/>
  <c r="D365" i="6" s="1"/>
  <c r="D359" i="6" a="1"/>
  <c r="D359" i="6" s="1"/>
  <c r="D353" i="6" a="1"/>
  <c r="D353" i="6" s="1"/>
  <c r="D347" i="6" a="1"/>
  <c r="D347" i="6" s="1"/>
  <c r="D341" i="6" a="1"/>
  <c r="D341" i="6" s="1"/>
  <c r="D483" i="6" a="1"/>
  <c r="D483" i="6" s="1"/>
  <c r="D428" i="6" a="1"/>
  <c r="D428" i="6" s="1"/>
  <c r="D404" i="6" a="1"/>
  <c r="D404" i="6" s="1"/>
  <c r="D445" i="6" a="1"/>
  <c r="D445" i="6" s="1"/>
  <c r="D421" i="6" a="1"/>
  <c r="D421" i="6" s="1"/>
  <c r="D397" i="6" a="1"/>
  <c r="D397" i="6" s="1"/>
  <c r="D388" i="6" a="1"/>
  <c r="D388" i="6" s="1"/>
  <c r="D382" i="6" a="1"/>
  <c r="D382" i="6" s="1"/>
  <c r="D376" i="6" a="1"/>
  <c r="D376" i="6" s="1"/>
  <c r="D370" i="6" a="1"/>
  <c r="D370" i="6" s="1"/>
  <c r="D364" i="6" a="1"/>
  <c r="D364" i="6" s="1"/>
  <c r="D358" i="6" a="1"/>
  <c r="D358" i="6" s="1"/>
  <c r="D352" i="6" a="1"/>
  <c r="D352" i="6" s="1"/>
  <c r="D346" i="6" a="1"/>
  <c r="D346" i="6" s="1"/>
  <c r="D340" i="6" a="1"/>
  <c r="D340" i="6" s="1"/>
  <c r="D434" i="6" a="1"/>
  <c r="D434" i="6" s="1"/>
  <c r="D410" i="6" a="1"/>
  <c r="D410" i="6" s="1"/>
  <c r="D387" i="6" a="1"/>
  <c r="D387" i="6" s="1"/>
  <c r="D381" i="6" a="1"/>
  <c r="D381" i="6" s="1"/>
  <c r="D375" i="6" a="1"/>
  <c r="D375" i="6" s="1"/>
  <c r="D369" i="6" a="1"/>
  <c r="D369" i="6" s="1"/>
  <c r="D363" i="6" a="1"/>
  <c r="D363" i="6" s="1"/>
  <c r="D357" i="6" a="1"/>
  <c r="D357" i="6" s="1"/>
  <c r="D351" i="6" a="1"/>
  <c r="D351" i="6" s="1"/>
  <c r="D345" i="6" a="1"/>
  <c r="D345" i="6" s="1"/>
  <c r="D339" i="6" a="1"/>
  <c r="D339" i="6" s="1"/>
  <c r="D477" i="6" a="1"/>
  <c r="D477" i="6" s="1"/>
  <c r="D427" i="6" a="1"/>
  <c r="D427" i="6" s="1"/>
  <c r="D403" i="6" a="1"/>
  <c r="D403" i="6" s="1"/>
  <c r="D386" i="6" a="1"/>
  <c r="D386" i="6" s="1"/>
  <c r="D380" i="6" a="1"/>
  <c r="D380" i="6" s="1"/>
  <c r="D374" i="6" a="1"/>
  <c r="D374" i="6" s="1"/>
  <c r="D368" i="6" a="1"/>
  <c r="D368" i="6" s="1"/>
  <c r="D362" i="6" a="1"/>
  <c r="D362" i="6" s="1"/>
  <c r="D356" i="6" a="1"/>
  <c r="D356" i="6" s="1"/>
  <c r="D350" i="6" a="1"/>
  <c r="D350" i="6" s="1"/>
  <c r="D344" i="6" a="1"/>
  <c r="D344" i="6" s="1"/>
  <c r="D338" i="6" a="1"/>
  <c r="D338" i="6" s="1"/>
  <c r="D440" i="6" a="1"/>
  <c r="D440" i="6" s="1"/>
  <c r="D416" i="6" a="1"/>
  <c r="D416" i="6" s="1"/>
  <c r="D392" i="6" a="1"/>
  <c r="D392" i="6" s="1"/>
  <c r="D415" i="6" a="1"/>
  <c r="D415" i="6" s="1"/>
  <c r="D342" i="6" a="1"/>
  <c r="D342" i="6" s="1"/>
  <c r="D332" i="6" a="1"/>
  <c r="D332" i="6" s="1"/>
  <c r="D326" i="6" a="1"/>
  <c r="D326" i="6" s="1"/>
  <c r="D320" i="6" a="1"/>
  <c r="D320" i="6" s="1"/>
  <c r="D314" i="6" a="1"/>
  <c r="D314" i="6" s="1"/>
  <c r="D308" i="6" a="1"/>
  <c r="D308" i="6" s="1"/>
  <c r="D302" i="6" a="1"/>
  <c r="D302" i="6" s="1"/>
  <c r="D296" i="6" a="1"/>
  <c r="D296" i="6" s="1"/>
  <c r="D290" i="6" a="1"/>
  <c r="D290" i="6" s="1"/>
  <c r="D284" i="6" a="1"/>
  <c r="D284" i="6" s="1"/>
  <c r="D373" i="6" a="1"/>
  <c r="D373" i="6" s="1"/>
  <c r="D349" i="6" a="1"/>
  <c r="D349" i="6" s="1"/>
  <c r="D398" i="6" a="1"/>
  <c r="D398" i="6" s="1"/>
  <c r="D390" i="6" a="1"/>
  <c r="D390" i="6" s="1"/>
  <c r="D366" i="6" a="1"/>
  <c r="D366" i="6" s="1"/>
  <c r="D331" i="6" a="1"/>
  <c r="D331" i="6" s="1"/>
  <c r="D325" i="6" a="1"/>
  <c r="D325" i="6" s="1"/>
  <c r="D319" i="6" a="1"/>
  <c r="D319" i="6" s="1"/>
  <c r="D313" i="6" a="1"/>
  <c r="D313" i="6" s="1"/>
  <c r="D307" i="6" a="1"/>
  <c r="D307" i="6" s="1"/>
  <c r="D301" i="6" a="1"/>
  <c r="D301" i="6" s="1"/>
  <c r="D295" i="6" a="1"/>
  <c r="D295" i="6" s="1"/>
  <c r="D289" i="6" a="1"/>
  <c r="D289" i="6" s="1"/>
  <c r="D439" i="6" a="1"/>
  <c r="D439" i="6" s="1"/>
  <c r="D409" i="6" a="1"/>
  <c r="D409" i="6" s="1"/>
  <c r="D379" i="6" a="1"/>
  <c r="D379" i="6" s="1"/>
  <c r="D355" i="6" a="1"/>
  <c r="D355" i="6" s="1"/>
  <c r="D336" i="6" a="1"/>
  <c r="D336" i="6" s="1"/>
  <c r="D330" i="6" a="1"/>
  <c r="D330" i="6" s="1"/>
  <c r="D324" i="6" a="1"/>
  <c r="D324" i="6" s="1"/>
  <c r="D318" i="6" a="1"/>
  <c r="D318" i="6" s="1"/>
  <c r="D312" i="6" a="1"/>
  <c r="D312" i="6" s="1"/>
  <c r="D306" i="6" a="1"/>
  <c r="D306" i="6" s="1"/>
  <c r="D300" i="6" a="1"/>
  <c r="D300" i="6" s="1"/>
  <c r="D294" i="6" a="1"/>
  <c r="D294" i="6" s="1"/>
  <c r="D288" i="6" a="1"/>
  <c r="D288" i="6" s="1"/>
  <c r="D422" i="6" a="1"/>
  <c r="D422" i="6" s="1"/>
  <c r="D372" i="6" a="1"/>
  <c r="D372" i="6" s="1"/>
  <c r="D348" i="6" a="1"/>
  <c r="D348" i="6" s="1"/>
  <c r="D337" i="6" a="1"/>
  <c r="D337" i="6" s="1"/>
  <c r="D343" i="6" a="1"/>
  <c r="D343" i="6" s="1"/>
  <c r="D335" i="6" a="1"/>
  <c r="D335" i="6" s="1"/>
  <c r="D329" i="6" a="1"/>
  <c r="D329" i="6" s="1"/>
  <c r="D323" i="6" a="1"/>
  <c r="D323" i="6" s="1"/>
  <c r="D317" i="6" a="1"/>
  <c r="D317" i="6" s="1"/>
  <c r="D311" i="6" a="1"/>
  <c r="D311" i="6" s="1"/>
  <c r="D305" i="6" a="1"/>
  <c r="D305" i="6" s="1"/>
  <c r="D299" i="6" a="1"/>
  <c r="D299" i="6" s="1"/>
  <c r="D293" i="6" a="1"/>
  <c r="D293" i="6" s="1"/>
  <c r="D287" i="6" a="1"/>
  <c r="D287" i="6" s="1"/>
  <c r="D433" i="6" a="1"/>
  <c r="D433" i="6" s="1"/>
  <c r="D385" i="6" a="1"/>
  <c r="D385" i="6" s="1"/>
  <c r="D361" i="6" a="1"/>
  <c r="D361" i="6" s="1"/>
  <c r="D384" i="6" a="1"/>
  <c r="D384" i="6" s="1"/>
  <c r="D360" i="6" a="1"/>
  <c r="D360" i="6" s="1"/>
  <c r="D327" i="6" a="1"/>
  <c r="D327" i="6" s="1"/>
  <c r="D303" i="6" a="1"/>
  <c r="D303" i="6" s="1"/>
  <c r="D316" i="6" a="1"/>
  <c r="D316" i="6" s="1"/>
  <c r="D291" i="6" a="1"/>
  <c r="D291" i="6" s="1"/>
  <c r="D279" i="6" a="1"/>
  <c r="D279" i="6" s="1"/>
  <c r="D273" i="6" a="1"/>
  <c r="D273" i="6" s="1"/>
  <c r="D267" i="6" a="1"/>
  <c r="D267" i="6" s="1"/>
  <c r="D261" i="6" a="1"/>
  <c r="D261" i="6" s="1"/>
  <c r="D255" i="6" a="1"/>
  <c r="D255" i="6" s="1"/>
  <c r="D249" i="6" a="1"/>
  <c r="D249" i="6" s="1"/>
  <c r="D243" i="6" a="1"/>
  <c r="D243" i="6" s="1"/>
  <c r="D237" i="6" a="1"/>
  <c r="D237" i="6" s="1"/>
  <c r="D231" i="6" a="1"/>
  <c r="D231" i="6" s="1"/>
  <c r="D333" i="6" a="1"/>
  <c r="D333" i="6" s="1"/>
  <c r="D309" i="6" a="1"/>
  <c r="D309" i="6" s="1"/>
  <c r="D278" i="6" a="1"/>
  <c r="D278" i="6" s="1"/>
  <c r="D272" i="6" a="1"/>
  <c r="D272" i="6" s="1"/>
  <c r="D266" i="6" a="1"/>
  <c r="D266" i="6" s="1"/>
  <c r="D260" i="6" a="1"/>
  <c r="D260" i="6" s="1"/>
  <c r="D254" i="6" a="1"/>
  <c r="D254" i="6" s="1"/>
  <c r="D248" i="6" a="1"/>
  <c r="D248" i="6" s="1"/>
  <c r="D242" i="6" a="1"/>
  <c r="D242" i="6" s="1"/>
  <c r="D354" i="6" a="1"/>
  <c r="D354" i="6" s="1"/>
  <c r="D322" i="6" a="1"/>
  <c r="D322" i="6" s="1"/>
  <c r="D298" i="6" a="1"/>
  <c r="D298" i="6" s="1"/>
  <c r="D285" i="6" a="1"/>
  <c r="D285" i="6" s="1"/>
  <c r="D283" i="6" a="1"/>
  <c r="D283" i="6" s="1"/>
  <c r="D277" i="6" a="1"/>
  <c r="D277" i="6" s="1"/>
  <c r="D271" i="6" a="1"/>
  <c r="D271" i="6" s="1"/>
  <c r="D265" i="6" a="1"/>
  <c r="D265" i="6" s="1"/>
  <c r="D259" i="6" a="1"/>
  <c r="D259" i="6" s="1"/>
  <c r="D253" i="6" a="1"/>
  <c r="D253" i="6" s="1"/>
  <c r="D247" i="6" a="1"/>
  <c r="D247" i="6" s="1"/>
  <c r="D241" i="6" a="1"/>
  <c r="D241" i="6" s="1"/>
  <c r="D235" i="6" a="1"/>
  <c r="D235" i="6" s="1"/>
  <c r="D367" i="6" a="1"/>
  <c r="D367" i="6" s="1"/>
  <c r="D315" i="6" a="1"/>
  <c r="D315" i="6" s="1"/>
  <c r="D446" i="6" a="1"/>
  <c r="D446" i="6" s="1"/>
  <c r="D378" i="6" a="1"/>
  <c r="D378" i="6" s="1"/>
  <c r="D328" i="6" a="1"/>
  <c r="D328" i="6" s="1"/>
  <c r="D304" i="6" a="1"/>
  <c r="D304" i="6" s="1"/>
  <c r="D286" i="6" a="1"/>
  <c r="D286" i="6" s="1"/>
  <c r="D274" i="6" a="1"/>
  <c r="D274" i="6" s="1"/>
  <c r="D256" i="6" a="1"/>
  <c r="D256" i="6" s="1"/>
  <c r="D225" i="6" a="1"/>
  <c r="D225" i="6" s="1"/>
  <c r="D219" i="6" a="1"/>
  <c r="D219" i="6" s="1"/>
  <c r="D213" i="6" a="1"/>
  <c r="D213" i="6" s="1"/>
  <c r="D207" i="6" a="1"/>
  <c r="D207" i="6" s="1"/>
  <c r="D201" i="6" a="1"/>
  <c r="D201" i="6" s="1"/>
  <c r="D195" i="6" a="1"/>
  <c r="D195" i="6" s="1"/>
  <c r="D189" i="6" a="1"/>
  <c r="D189" i="6" s="1"/>
  <c r="D183" i="6" a="1"/>
  <c r="D183" i="6" s="1"/>
  <c r="D177" i="6" a="1"/>
  <c r="D177" i="6" s="1"/>
  <c r="D171" i="6" a="1"/>
  <c r="D171" i="6" s="1"/>
  <c r="D165" i="6" a="1"/>
  <c r="D165" i="6" s="1"/>
  <c r="D159" i="6" a="1"/>
  <c r="D159" i="6" s="1"/>
  <c r="D153" i="6" a="1"/>
  <c r="D153" i="6" s="1"/>
  <c r="D147" i="6" a="1"/>
  <c r="D147" i="6" s="1"/>
  <c r="D141" i="6" a="1"/>
  <c r="D141" i="6" s="1"/>
  <c r="D135" i="6" a="1"/>
  <c r="D135" i="6" s="1"/>
  <c r="D129" i="6" a="1"/>
  <c r="D129" i="6" s="1"/>
  <c r="D123" i="6" a="1"/>
  <c r="D123" i="6" s="1"/>
  <c r="D117" i="6" a="1"/>
  <c r="D117" i="6" s="1"/>
  <c r="D111" i="6" a="1"/>
  <c r="D111" i="6" s="1"/>
  <c r="D292" i="6" a="1"/>
  <c r="D292" i="6" s="1"/>
  <c r="D276" i="6" a="1"/>
  <c r="D276" i="6" s="1"/>
  <c r="D258" i="6" a="1"/>
  <c r="D258" i="6" s="1"/>
  <c r="D281" i="6" a="1"/>
  <c r="D281" i="6" s="1"/>
  <c r="D263" i="6" a="1"/>
  <c r="D263" i="6" s="1"/>
  <c r="D245" i="6" a="1"/>
  <c r="D245" i="6" s="1"/>
  <c r="D234" i="6" a="1"/>
  <c r="D234" i="6" s="1"/>
  <c r="D224" i="6" a="1"/>
  <c r="D224" i="6" s="1"/>
  <c r="D218" i="6" a="1"/>
  <c r="D218" i="6" s="1"/>
  <c r="D212" i="6" a="1"/>
  <c r="D212" i="6" s="1"/>
  <c r="D206" i="6" a="1"/>
  <c r="D206" i="6" s="1"/>
  <c r="D200" i="6" a="1"/>
  <c r="D200" i="6" s="1"/>
  <c r="D194" i="6" a="1"/>
  <c r="D194" i="6" s="1"/>
  <c r="D188" i="6" a="1"/>
  <c r="D188" i="6" s="1"/>
  <c r="D182" i="6" a="1"/>
  <c r="D182" i="6" s="1"/>
  <c r="D176" i="6" a="1"/>
  <c r="D176" i="6" s="1"/>
  <c r="D170" i="6" a="1"/>
  <c r="D170" i="6" s="1"/>
  <c r="D164" i="6" a="1"/>
  <c r="D164" i="6" s="1"/>
  <c r="D158" i="6" a="1"/>
  <c r="D158" i="6" s="1"/>
  <c r="D152" i="6" a="1"/>
  <c r="D152" i="6" s="1"/>
  <c r="D146" i="6" a="1"/>
  <c r="D146" i="6" s="1"/>
  <c r="D140" i="6" a="1"/>
  <c r="D140" i="6" s="1"/>
  <c r="D134" i="6" a="1"/>
  <c r="D134" i="6" s="1"/>
  <c r="D128" i="6" a="1"/>
  <c r="D128" i="6" s="1"/>
  <c r="D122" i="6" a="1"/>
  <c r="D122" i="6" s="1"/>
  <c r="D116" i="6" a="1"/>
  <c r="D116" i="6" s="1"/>
  <c r="D110" i="6" a="1"/>
  <c r="D110" i="6" s="1"/>
  <c r="D240" i="6" a="1"/>
  <c r="D240" i="6" s="1"/>
  <c r="D236" i="6" a="1"/>
  <c r="D236" i="6" s="1"/>
  <c r="D232" i="6" a="1"/>
  <c r="D232" i="6" s="1"/>
  <c r="D230" i="6" a="1"/>
  <c r="D230" i="6" s="1"/>
  <c r="D268" i="6" a="1"/>
  <c r="D268" i="6" s="1"/>
  <c r="D250" i="6" a="1"/>
  <c r="D250" i="6" s="1"/>
  <c r="D238" i="6" a="1"/>
  <c r="D238" i="6" s="1"/>
  <c r="D229" i="6" a="1"/>
  <c r="D229" i="6" s="1"/>
  <c r="D223" i="6" a="1"/>
  <c r="D223" i="6" s="1"/>
  <c r="D217" i="6" a="1"/>
  <c r="D217" i="6" s="1"/>
  <c r="D211" i="6" a="1"/>
  <c r="D211" i="6" s="1"/>
  <c r="D205" i="6" a="1"/>
  <c r="D205" i="6" s="1"/>
  <c r="D199" i="6" a="1"/>
  <c r="D199" i="6" s="1"/>
  <c r="D193" i="6" a="1"/>
  <c r="D193" i="6" s="1"/>
  <c r="D187" i="6" a="1"/>
  <c r="D187" i="6" s="1"/>
  <c r="D181" i="6" a="1"/>
  <c r="D181" i="6" s="1"/>
  <c r="D175" i="6" a="1"/>
  <c r="D175" i="6" s="1"/>
  <c r="D169" i="6" a="1"/>
  <c r="D169" i="6" s="1"/>
  <c r="D163" i="6" a="1"/>
  <c r="D163" i="6" s="1"/>
  <c r="D157" i="6" a="1"/>
  <c r="D157" i="6" s="1"/>
  <c r="D151" i="6" a="1"/>
  <c r="D151" i="6" s="1"/>
  <c r="D145" i="6" a="1"/>
  <c r="D145" i="6" s="1"/>
  <c r="D139" i="6" a="1"/>
  <c r="D139" i="6" s="1"/>
  <c r="D133" i="6" a="1"/>
  <c r="D133" i="6" s="1"/>
  <c r="D127" i="6" a="1"/>
  <c r="D127" i="6" s="1"/>
  <c r="D121" i="6" a="1"/>
  <c r="D121" i="6" s="1"/>
  <c r="D115" i="6" a="1"/>
  <c r="D115" i="6" s="1"/>
  <c r="D109" i="6" a="1"/>
  <c r="D109" i="6" s="1"/>
  <c r="D270" i="6" a="1"/>
  <c r="D270" i="6" s="1"/>
  <c r="D252" i="6" a="1"/>
  <c r="D252" i="6" s="1"/>
  <c r="D391" i="6" a="1"/>
  <c r="D391" i="6" s="1"/>
  <c r="D297" i="6" a="1"/>
  <c r="D297" i="6" s="1"/>
  <c r="D275" i="6" a="1"/>
  <c r="D275" i="6" s="1"/>
  <c r="D257" i="6" a="1"/>
  <c r="D257" i="6" s="1"/>
  <c r="D228" i="6" a="1"/>
  <c r="D228" i="6" s="1"/>
  <c r="D222" i="6" a="1"/>
  <c r="D222" i="6" s="1"/>
  <c r="D216" i="6" a="1"/>
  <c r="D216" i="6" s="1"/>
  <c r="D210" i="6" a="1"/>
  <c r="D210" i="6" s="1"/>
  <c r="D204" i="6" a="1"/>
  <c r="D204" i="6" s="1"/>
  <c r="D198" i="6" a="1"/>
  <c r="D198" i="6" s="1"/>
  <c r="D192" i="6" a="1"/>
  <c r="D192" i="6" s="1"/>
  <c r="D186" i="6" a="1"/>
  <c r="D186" i="6" s="1"/>
  <c r="D180" i="6" a="1"/>
  <c r="D180" i="6" s="1"/>
  <c r="D174" i="6" a="1"/>
  <c r="D174" i="6" s="1"/>
  <c r="D168" i="6" a="1"/>
  <c r="D168" i="6" s="1"/>
  <c r="D162" i="6" a="1"/>
  <c r="D162" i="6" s="1"/>
  <c r="D156" i="6" a="1"/>
  <c r="D156" i="6" s="1"/>
  <c r="D150" i="6" a="1"/>
  <c r="D150" i="6" s="1"/>
  <c r="D144" i="6" a="1"/>
  <c r="D144" i="6" s="1"/>
  <c r="D138" i="6" a="1"/>
  <c r="D138" i="6" s="1"/>
  <c r="D334" i="6" a="1"/>
  <c r="D334" i="6" s="1"/>
  <c r="D269" i="6" a="1"/>
  <c r="D269" i="6" s="1"/>
  <c r="D251" i="6" a="1"/>
  <c r="D251" i="6" s="1"/>
  <c r="D226" i="6" a="1"/>
  <c r="D226" i="6" s="1"/>
  <c r="D220" i="6" a="1"/>
  <c r="D220" i="6" s="1"/>
  <c r="D214" i="6" a="1"/>
  <c r="D214" i="6" s="1"/>
  <c r="D208" i="6" a="1"/>
  <c r="D208" i="6" s="1"/>
  <c r="D202" i="6" a="1"/>
  <c r="D202" i="6" s="1"/>
  <c r="D196" i="6" a="1"/>
  <c r="D196" i="6" s="1"/>
  <c r="D190" i="6" a="1"/>
  <c r="D190" i="6" s="1"/>
  <c r="D184" i="6" a="1"/>
  <c r="D184" i="6" s="1"/>
  <c r="D178" i="6" a="1"/>
  <c r="D178" i="6" s="1"/>
  <c r="D172" i="6" a="1"/>
  <c r="D172" i="6" s="1"/>
  <c r="D166" i="6" a="1"/>
  <c r="D166" i="6" s="1"/>
  <c r="D160" i="6" a="1"/>
  <c r="D160" i="6" s="1"/>
  <c r="D154" i="6" a="1"/>
  <c r="D154" i="6" s="1"/>
  <c r="D148" i="6" a="1"/>
  <c r="D148" i="6" s="1"/>
  <c r="D142" i="6" a="1"/>
  <c r="D142" i="6" s="1"/>
  <c r="D136" i="6" a="1"/>
  <c r="D136" i="6" s="1"/>
  <c r="D130" i="6" a="1"/>
  <c r="D130" i="6" s="1"/>
  <c r="D124" i="6" a="1"/>
  <c r="D124" i="6" s="1"/>
  <c r="D118" i="6" a="1"/>
  <c r="D118" i="6" s="1"/>
  <c r="D112" i="6" a="1"/>
  <c r="D112" i="6" s="1"/>
  <c r="D321" i="6" a="1"/>
  <c r="D321" i="6" s="1"/>
  <c r="D282" i="6" a="1"/>
  <c r="D282" i="6" s="1"/>
  <c r="D132" i="6" a="1"/>
  <c r="D132" i="6" s="1"/>
  <c r="D114" i="6" a="1"/>
  <c r="D114" i="6" s="1"/>
  <c r="D106" i="6" a="1"/>
  <c r="D106" i="6" s="1"/>
  <c r="D100" i="6" a="1"/>
  <c r="D100" i="6" s="1"/>
  <c r="D94" i="6" a="1"/>
  <c r="D94" i="6" s="1"/>
  <c r="D88" i="6" a="1"/>
  <c r="D88" i="6" s="1"/>
  <c r="D82" i="6" a="1"/>
  <c r="D82" i="6" s="1"/>
  <c r="D76" i="6" a="1"/>
  <c r="D76" i="6" s="1"/>
  <c r="D70" i="6" a="1"/>
  <c r="D70" i="6" s="1"/>
  <c r="D64" i="6" a="1"/>
  <c r="D64" i="6" s="1"/>
  <c r="D58" i="6" a="1"/>
  <c r="D58" i="6" s="1"/>
  <c r="D52" i="6" a="1"/>
  <c r="D52" i="6" s="1"/>
  <c r="D47" i="6" a="1"/>
  <c r="D47" i="6" s="1"/>
  <c r="D41" i="6" a="1"/>
  <c r="D41" i="6" s="1"/>
  <c r="D35" i="6" a="1"/>
  <c r="D35" i="6" s="1"/>
  <c r="D29" i="6" a="1"/>
  <c r="D29" i="6" s="1"/>
  <c r="D16" i="6" a="1"/>
  <c r="D16" i="6" s="1"/>
  <c r="D6" i="6" a="1"/>
  <c r="D6" i="6" s="1"/>
  <c r="D310" i="6" a="1"/>
  <c r="D310" i="6" s="1"/>
  <c r="D24" i="6" a="1"/>
  <c r="D24" i="6" s="1"/>
  <c r="D10" i="6" a="1"/>
  <c r="D10" i="6" s="1"/>
  <c r="D280" i="6" a="1"/>
  <c r="D280" i="6" s="1"/>
  <c r="D227" i="6" a="1"/>
  <c r="D227" i="6" s="1"/>
  <c r="D203" i="6" a="1"/>
  <c r="D203" i="6" s="1"/>
  <c r="D179" i="6" a="1"/>
  <c r="D179" i="6" s="1"/>
  <c r="D155" i="6" a="1"/>
  <c r="D155" i="6" s="1"/>
  <c r="D119" i="6" a="1"/>
  <c r="D119" i="6" s="1"/>
  <c r="D105" i="6" a="1"/>
  <c r="D105" i="6" s="1"/>
  <c r="D99" i="6" a="1"/>
  <c r="D99" i="6" s="1"/>
  <c r="D93" i="6" a="1"/>
  <c r="D93" i="6" s="1"/>
  <c r="D87" i="6" a="1"/>
  <c r="D87" i="6" s="1"/>
  <c r="D81" i="6" a="1"/>
  <c r="D81" i="6" s="1"/>
  <c r="D75" i="6" a="1"/>
  <c r="D75" i="6" s="1"/>
  <c r="D69" i="6" a="1"/>
  <c r="D69" i="6" s="1"/>
  <c r="D63" i="6" a="1"/>
  <c r="D63" i="6" s="1"/>
  <c r="D57" i="6" a="1"/>
  <c r="D57" i="6" s="1"/>
  <c r="D51" i="6" a="1"/>
  <c r="D51" i="6" s="1"/>
  <c r="D46" i="6" a="1"/>
  <c r="D46" i="6" s="1"/>
  <c r="D40" i="6" a="1"/>
  <c r="D40" i="6" s="1"/>
  <c r="D34" i="6" a="1"/>
  <c r="D34" i="6" s="1"/>
  <c r="D28" i="6" a="1"/>
  <c r="D28" i="6" s="1"/>
  <c r="D20" i="6" a="1"/>
  <c r="D20" i="6" s="1"/>
  <c r="D15" i="6" a="1"/>
  <c r="D15" i="6" s="1"/>
  <c r="D239" i="6" a="1"/>
  <c r="D239" i="6" s="1"/>
  <c r="D126" i="6" a="1"/>
  <c r="D126" i="6" s="1"/>
  <c r="D104" i="6" a="1"/>
  <c r="D104" i="6" s="1"/>
  <c r="D98" i="6" a="1"/>
  <c r="D98" i="6" s="1"/>
  <c r="D92" i="6" a="1"/>
  <c r="D92" i="6" s="1"/>
  <c r="D86" i="6" a="1"/>
  <c r="D86" i="6" s="1"/>
  <c r="D80" i="6" a="1"/>
  <c r="D80" i="6" s="1"/>
  <c r="D74" i="6" a="1"/>
  <c r="D74" i="6" s="1"/>
  <c r="D68" i="6" a="1"/>
  <c r="D68" i="6" s="1"/>
  <c r="D62" i="6" a="1"/>
  <c r="D62" i="6" s="1"/>
  <c r="D56" i="6" a="1"/>
  <c r="D56" i="6" s="1"/>
  <c r="D209" i="6" a="1"/>
  <c r="D209" i="6" s="1"/>
  <c r="D185" i="6" a="1"/>
  <c r="D185" i="6" s="1"/>
  <c r="D161" i="6" a="1"/>
  <c r="D161" i="6" s="1"/>
  <c r="D137" i="6" a="1"/>
  <c r="D137" i="6" s="1"/>
  <c r="D246" i="6" a="1"/>
  <c r="D246" i="6" s="1"/>
  <c r="D131" i="6" a="1"/>
  <c r="D131" i="6" s="1"/>
  <c r="D113" i="6" a="1"/>
  <c r="D113" i="6" s="1"/>
  <c r="D103" i="6" a="1"/>
  <c r="D103" i="6" s="1"/>
  <c r="D97" i="6" a="1"/>
  <c r="D97" i="6" s="1"/>
  <c r="D91" i="6" a="1"/>
  <c r="D91" i="6" s="1"/>
  <c r="D85" i="6" a="1"/>
  <c r="D85" i="6" s="1"/>
  <c r="D79" i="6" a="1"/>
  <c r="D79" i="6" s="1"/>
  <c r="D73" i="6" a="1"/>
  <c r="D73" i="6" s="1"/>
  <c r="D67" i="6" a="1"/>
  <c r="D67" i="6" s="1"/>
  <c r="D61" i="6" a="1"/>
  <c r="D61" i="6" s="1"/>
  <c r="D55" i="6" a="1"/>
  <c r="D55" i="6" s="1"/>
  <c r="D50" i="6" a="1"/>
  <c r="D50" i="6" s="1"/>
  <c r="D44" i="6" a="1"/>
  <c r="D44" i="6" s="1"/>
  <c r="D38" i="6" a="1"/>
  <c r="D38" i="6" s="1"/>
  <c r="D32" i="6" a="1"/>
  <c r="D32" i="6" s="1"/>
  <c r="D26" i="6" a="1"/>
  <c r="D26" i="6" s="1"/>
  <c r="D13" i="6" a="1"/>
  <c r="D13" i="6" s="1"/>
  <c r="D8" i="6" a="1"/>
  <c r="D8" i="6" s="1"/>
  <c r="D244" i="6" a="1"/>
  <c r="D244" i="6" s="1"/>
  <c r="D215" i="6" a="1"/>
  <c r="D215" i="6" s="1"/>
  <c r="D191" i="6" a="1"/>
  <c r="D191" i="6" s="1"/>
  <c r="D167" i="6" a="1"/>
  <c r="D167" i="6" s="1"/>
  <c r="D143" i="6" a="1"/>
  <c r="D143" i="6" s="1"/>
  <c r="D120" i="6" a="1"/>
  <c r="D120" i="6" s="1"/>
  <c r="D108" i="6" a="1"/>
  <c r="D108" i="6" s="1"/>
  <c r="D102" i="6" a="1"/>
  <c r="D102" i="6" s="1"/>
  <c r="D96" i="6" a="1"/>
  <c r="D96" i="6" s="1"/>
  <c r="D90" i="6" a="1"/>
  <c r="D90" i="6" s="1"/>
  <c r="D84" i="6" a="1"/>
  <c r="D84" i="6" s="1"/>
  <c r="D78" i="6" a="1"/>
  <c r="D78" i="6" s="1"/>
  <c r="D72" i="6" a="1"/>
  <c r="D72" i="6" s="1"/>
  <c r="D66" i="6" a="1"/>
  <c r="D66" i="6" s="1"/>
  <c r="D60" i="6" a="1"/>
  <c r="D60" i="6" s="1"/>
  <c r="D54" i="6" a="1"/>
  <c r="D54" i="6" s="1"/>
  <c r="D49" i="6" a="1"/>
  <c r="D49" i="6" s="1"/>
  <c r="D43" i="6" a="1"/>
  <c r="D43" i="6" s="1"/>
  <c r="D37" i="6" a="1"/>
  <c r="D37" i="6" s="1"/>
  <c r="D31" i="6" a="1"/>
  <c r="D31" i="6" s="1"/>
  <c r="D22" i="6" a="1"/>
  <c r="D22" i="6" s="1"/>
  <c r="D18" i="6" a="1"/>
  <c r="D18" i="6" s="1"/>
  <c r="D264" i="6" a="1"/>
  <c r="D264" i="6" s="1"/>
  <c r="D25" i="6" a="1"/>
  <c r="D25" i="6" s="1"/>
  <c r="D12" i="6" a="1"/>
  <c r="D12" i="6" s="1"/>
  <c r="D11" i="6" a="1"/>
  <c r="D11" i="6" s="1"/>
  <c r="D14" i="6" a="1"/>
  <c r="D14" i="6" s="1"/>
  <c r="D42" i="6" a="1"/>
  <c r="D42" i="6" s="1"/>
  <c r="D53" i="6" a="1"/>
  <c r="D53" i="6" s="1"/>
  <c r="D89" i="6" a="1"/>
  <c r="D89" i="6" s="1"/>
  <c r="D39" i="6" a="1"/>
  <c r="D39" i="6" s="1"/>
  <c r="D149" i="6" a="1"/>
  <c r="D149" i="6" s="1"/>
  <c r="D233" i="6" a="1"/>
  <c r="D233" i="6" s="1"/>
  <c r="F125" i="6"/>
  <c r="D23" i="6" a="1"/>
  <c r="D23" i="6" s="1"/>
  <c r="D59" i="6" a="1"/>
  <c r="D59" i="6" s="1"/>
  <c r="D95" i="6" a="1"/>
  <c r="D95" i="6" s="1"/>
  <c r="D36" i="6" a="1"/>
  <c r="D36" i="6" s="1"/>
  <c r="D173" i="6" a="1"/>
  <c r="D173" i="6" s="1"/>
  <c r="E7" i="6"/>
  <c r="F7" i="6"/>
  <c r="D33" i="6" a="1"/>
  <c r="D33" i="6" s="1"/>
  <c r="D65" i="6" a="1"/>
  <c r="D65" i="6" s="1"/>
  <c r="D101" i="6" a="1"/>
  <c r="D101" i="6" s="1"/>
  <c r="D21" i="6" a="1"/>
  <c r="D21" i="6" s="1"/>
  <c r="D197" i="6" a="1"/>
  <c r="D197" i="6" s="1"/>
  <c r="F83" i="6"/>
  <c r="E83" i="6"/>
  <c r="D9" i="6" a="1"/>
  <c r="D9" i="6" s="1"/>
  <c r="D30" i="6" a="1"/>
  <c r="D30" i="6" s="1"/>
  <c r="D71" i="6" a="1"/>
  <c r="D71" i="6" s="1"/>
  <c r="D107" i="6" a="1"/>
  <c r="D107" i="6" s="1"/>
  <c r="I54" i="13"/>
  <c r="Z54" i="13" s="1"/>
  <c r="X85" i="4"/>
  <c r="Y85" i="4" s="1"/>
  <c r="Z85" i="4" s="1"/>
  <c r="AA85" i="4" s="1"/>
  <c r="AB85" i="4" s="1"/>
  <c r="AC85" i="4" s="1"/>
  <c r="AD85" i="4" s="1"/>
  <c r="AE85" i="4" s="1"/>
  <c r="AF85" i="4" s="1"/>
  <c r="AG85" i="4" s="1"/>
  <c r="AH85" i="4" s="1"/>
  <c r="AI85" i="4" s="1"/>
  <c r="AJ85" i="4" s="1"/>
  <c r="AK85" i="4" s="1"/>
  <c r="AL85" i="4" s="1"/>
  <c r="AM85" i="4" s="1"/>
  <c r="AN85" i="4" s="1"/>
  <c r="AO85" i="4" s="1"/>
  <c r="AP85" i="4" s="1"/>
  <c r="AQ85" i="4" s="1"/>
  <c r="AR85" i="4" s="1"/>
  <c r="AS85" i="4" s="1"/>
  <c r="AT85" i="4" s="1"/>
  <c r="AU85" i="4" s="1"/>
  <c r="AV85" i="4" s="1"/>
  <c r="AW85" i="4" s="1"/>
  <c r="AX85" i="4" s="1"/>
  <c r="AY85" i="4" s="1"/>
  <c r="AZ85" i="4" s="1"/>
  <c r="BA85" i="4" s="1"/>
  <c r="N15" i="4" a="1"/>
  <c r="N15" i="4" s="1"/>
  <c r="N13" i="4" a="1"/>
  <c r="N13" i="4" s="1"/>
  <c r="C18" i="1" l="1"/>
  <c r="C17" i="1"/>
  <c r="C27" i="1" s="1"/>
  <c r="F19" i="6"/>
  <c r="W131" i="13"/>
  <c r="W149" i="13"/>
  <c r="Y149" i="13" s="1"/>
  <c r="AA149" i="13" s="1"/>
  <c r="Z116" i="13"/>
  <c r="W132" i="13"/>
  <c r="Z118" i="13"/>
  <c r="W114" i="13"/>
  <c r="Y114" i="13" s="1"/>
  <c r="AA114" i="13" s="1"/>
  <c r="Z126" i="13"/>
  <c r="W129" i="13"/>
  <c r="Y129" i="13" s="1"/>
  <c r="AA129" i="13" s="1"/>
  <c r="Y147" i="13"/>
  <c r="Z135" i="13"/>
  <c r="Z148" i="13"/>
  <c r="Y148" i="13"/>
  <c r="Z143" i="13"/>
  <c r="W143" i="13"/>
  <c r="Y143" i="13" s="1"/>
  <c r="Z147" i="13"/>
  <c r="E48" i="6"/>
  <c r="E45" i="6"/>
  <c r="E77" i="6"/>
  <c r="Y119" i="13"/>
  <c r="Y118" i="13"/>
  <c r="E17" i="6"/>
  <c r="Y126" i="13"/>
  <c r="AA126" i="13" s="1"/>
  <c r="Y138" i="13"/>
  <c r="AA138" i="13" s="1"/>
  <c r="L53" i="13"/>
  <c r="C61" i="4"/>
  <c r="B19" i="6" a="1"/>
  <c r="B19" i="6" s="1"/>
  <c r="B11" i="6"/>
  <c r="M5" i="6" a="1"/>
  <c r="M5" i="6" s="1"/>
  <c r="Y132" i="13"/>
  <c r="AA132" i="13" s="1"/>
  <c r="Y135" i="13"/>
  <c r="B23" i="6" a="1"/>
  <c r="B23" i="6" s="1"/>
  <c r="B5" i="6" a="1"/>
  <c r="B5" i="6" s="1"/>
  <c r="Y131" i="13"/>
  <c r="AA131" i="13" s="1"/>
  <c r="W122" i="13"/>
  <c r="Y122" i="13" s="1"/>
  <c r="Z122" i="13"/>
  <c r="W151" i="13"/>
  <c r="Y151" i="13" s="1"/>
  <c r="Z151" i="13"/>
  <c r="Z141" i="13"/>
  <c r="W141" i="13"/>
  <c r="Y141" i="13" s="1"/>
  <c r="W134" i="13"/>
  <c r="Y134" i="13" s="1"/>
  <c r="Z134" i="13"/>
  <c r="Z152" i="13"/>
  <c r="W152" i="13"/>
  <c r="Y152" i="13" s="1"/>
  <c r="W144" i="13"/>
  <c r="Y144" i="13" s="1"/>
  <c r="Z144" i="13"/>
  <c r="W137" i="13"/>
  <c r="Y137" i="13" s="1"/>
  <c r="Z137" i="13"/>
  <c r="Z127" i="13"/>
  <c r="W127" i="13"/>
  <c r="Y127" i="13" s="1"/>
  <c r="Z150" i="13"/>
  <c r="W150" i="13"/>
  <c r="Y150" i="13" s="1"/>
  <c r="W146" i="13"/>
  <c r="Y146" i="13" s="1"/>
  <c r="Z146" i="13"/>
  <c r="W145" i="13"/>
  <c r="Y145" i="13" s="1"/>
  <c r="Z145" i="13"/>
  <c r="W140" i="13"/>
  <c r="Y140" i="13" s="1"/>
  <c r="Z140" i="13"/>
  <c r="Z130" i="13"/>
  <c r="W130" i="13"/>
  <c r="Y130" i="13" s="1"/>
  <c r="Z153" i="13"/>
  <c r="W153" i="13"/>
  <c r="Y153" i="13" s="1"/>
  <c r="Z133" i="13"/>
  <c r="W133" i="13"/>
  <c r="Y133" i="13" s="1"/>
  <c r="Y116" i="13"/>
  <c r="AA116" i="13" s="1"/>
  <c r="Z136" i="13"/>
  <c r="W136" i="13"/>
  <c r="Y136" i="13" s="1"/>
  <c r="Z139" i="13"/>
  <c r="W139" i="13"/>
  <c r="Y139" i="13" s="1"/>
  <c r="W142" i="13"/>
  <c r="Y142" i="13" s="1"/>
  <c r="Z142" i="13"/>
  <c r="W128" i="13"/>
  <c r="Y128" i="13" s="1"/>
  <c r="Z128" i="13"/>
  <c r="Z119" i="13"/>
  <c r="Z123" i="13"/>
  <c r="W123" i="13"/>
  <c r="Y123" i="13" s="1"/>
  <c r="Z115" i="13"/>
  <c r="W115" i="13"/>
  <c r="Y115" i="13" s="1"/>
  <c r="W125" i="13"/>
  <c r="Y125" i="13" s="1"/>
  <c r="Z125" i="13"/>
  <c r="Z124" i="13"/>
  <c r="W124" i="13"/>
  <c r="Y124" i="13" s="1"/>
  <c r="G57" i="13"/>
  <c r="G58" i="13" s="1"/>
  <c r="G59" i="13" s="1"/>
  <c r="G60" i="13" s="1"/>
  <c r="G61" i="13" s="1"/>
  <c r="G62" i="13" s="1"/>
  <c r="G63" i="13" s="1"/>
  <c r="G64" i="13" s="1"/>
  <c r="G65" i="13" s="1"/>
  <c r="G66" i="13" s="1"/>
  <c r="G67" i="13" s="1"/>
  <c r="G68" i="13" s="1"/>
  <c r="G69" i="13" s="1"/>
  <c r="G70" i="13" s="1"/>
  <c r="G71" i="13" s="1"/>
  <c r="G72" i="13" s="1"/>
  <c r="G73" i="13" s="1"/>
  <c r="G74" i="13" s="1"/>
  <c r="G75" i="13" s="1"/>
  <c r="G76" i="13" s="1"/>
  <c r="G77" i="13" s="1"/>
  <c r="G78" i="13" s="1"/>
  <c r="G79" i="13" s="1"/>
  <c r="G80" i="13" s="1"/>
  <c r="G81" i="13" s="1"/>
  <c r="G82" i="13" s="1"/>
  <c r="G83" i="13" s="1"/>
  <c r="G84" i="13" s="1"/>
  <c r="G85" i="13" s="1"/>
  <c r="G86" i="13" s="1"/>
  <c r="G87" i="13" s="1"/>
  <c r="G88" i="13" s="1"/>
  <c r="G89" i="13" s="1"/>
  <c r="G90" i="13" s="1"/>
  <c r="G91" i="13" s="1"/>
  <c r="G92" i="13" s="1"/>
  <c r="G93" i="13" s="1"/>
  <c r="G94" i="13" s="1"/>
  <c r="G95" i="13" s="1"/>
  <c r="G96" i="13" s="1"/>
  <c r="G97" i="13" s="1"/>
  <c r="G98" i="13" s="1"/>
  <c r="G99" i="13" s="1"/>
  <c r="G100" i="13" s="1"/>
  <c r="G101" i="13" s="1"/>
  <c r="G102" i="13" s="1"/>
  <c r="G103" i="13" s="1"/>
  <c r="G104" i="13" s="1"/>
  <c r="I56" i="13"/>
  <c r="Z56" i="13" s="1"/>
  <c r="W117" i="13"/>
  <c r="Y117" i="13" s="1"/>
  <c r="Z117" i="13"/>
  <c r="Z120" i="13"/>
  <c r="W120" i="13"/>
  <c r="Y120" i="13" s="1"/>
  <c r="Z121" i="13"/>
  <c r="W121" i="13"/>
  <c r="Y121" i="13" s="1"/>
  <c r="I55" i="13"/>
  <c r="Z55" i="13" s="1"/>
  <c r="AG59" i="13"/>
  <c r="AG60" i="13" s="1"/>
  <c r="AG61" i="13" s="1"/>
  <c r="AG62" i="13" s="1"/>
  <c r="AG63" i="13" s="1"/>
  <c r="AG64" i="13" s="1"/>
  <c r="AG65" i="13" s="1"/>
  <c r="AG66" i="13" s="1"/>
  <c r="AG67" i="13" s="1"/>
  <c r="AG68" i="13" s="1"/>
  <c r="AG69" i="13" s="1"/>
  <c r="AG70" i="13" s="1"/>
  <c r="AG71" i="13" s="1"/>
  <c r="AG72" i="13" s="1"/>
  <c r="AG73" i="13" s="1"/>
  <c r="AG74" i="13" s="1"/>
  <c r="AG75" i="13" s="1"/>
  <c r="AG76" i="13" s="1"/>
  <c r="AG77" i="13" s="1"/>
  <c r="AG78" i="13" s="1"/>
  <c r="AG79" i="13" s="1"/>
  <c r="AG80" i="13" s="1"/>
  <c r="AG81" i="13" s="1"/>
  <c r="AG82" i="13" s="1"/>
  <c r="AG83" i="13" s="1"/>
  <c r="AG84" i="13" s="1"/>
  <c r="AG85" i="13" s="1"/>
  <c r="AG86" i="13" s="1"/>
  <c r="AG87" i="13" s="1"/>
  <c r="AG88" i="13" s="1"/>
  <c r="AG89" i="13" s="1"/>
  <c r="AG90" i="13" s="1"/>
  <c r="AG91" i="13" s="1"/>
  <c r="AG92" i="13" s="1"/>
  <c r="AG93" i="13" s="1"/>
  <c r="AG94" i="13" s="1"/>
  <c r="AG95" i="13" s="1"/>
  <c r="AG96" i="13" s="1"/>
  <c r="AG97" i="13" s="1"/>
  <c r="AG98" i="13" s="1"/>
  <c r="AG99" i="13" s="1"/>
  <c r="AG100" i="13" s="1"/>
  <c r="AG101" i="13" s="1"/>
  <c r="AG102" i="13" s="1"/>
  <c r="AG103" i="13" s="1"/>
  <c r="AG104" i="13" s="1"/>
  <c r="AG105" i="13" s="1"/>
  <c r="AG106" i="13" s="1"/>
  <c r="AG107" i="13" s="1"/>
  <c r="AG108" i="13" s="1"/>
  <c r="AG109" i="13" s="1"/>
  <c r="AG110" i="13" s="1"/>
  <c r="AG111" i="13" s="1"/>
  <c r="AG112" i="13" s="1"/>
  <c r="AG113" i="13" s="1"/>
  <c r="W54" i="13"/>
  <c r="F143" i="6"/>
  <c r="E143" i="6"/>
  <c r="F55" i="6"/>
  <c r="E55" i="6"/>
  <c r="F137" i="6"/>
  <c r="E137" i="6"/>
  <c r="F104" i="6"/>
  <c r="E104" i="6"/>
  <c r="E69" i="6"/>
  <c r="F69" i="6"/>
  <c r="F280" i="6"/>
  <c r="E280" i="6"/>
  <c r="F64" i="6"/>
  <c r="E64" i="6"/>
  <c r="F112" i="6"/>
  <c r="E112" i="6"/>
  <c r="F184" i="6"/>
  <c r="E184" i="6"/>
  <c r="F144" i="6"/>
  <c r="E144" i="6"/>
  <c r="F216" i="6"/>
  <c r="E216" i="6"/>
  <c r="F127" i="6"/>
  <c r="E127" i="6"/>
  <c r="F199" i="6"/>
  <c r="E199" i="6"/>
  <c r="F240" i="6"/>
  <c r="E240" i="6"/>
  <c r="F176" i="6"/>
  <c r="E176" i="6"/>
  <c r="F281" i="6"/>
  <c r="E281" i="6"/>
  <c r="E159" i="6"/>
  <c r="F159" i="6"/>
  <c r="F256" i="6"/>
  <c r="E256" i="6"/>
  <c r="F253" i="6"/>
  <c r="E253" i="6"/>
  <c r="F254" i="6"/>
  <c r="E254" i="6"/>
  <c r="F261" i="6"/>
  <c r="E261" i="6"/>
  <c r="F433" i="6"/>
  <c r="K433" i="6" a="1"/>
  <c r="K433" i="6" s="1"/>
  <c r="E433" i="6"/>
  <c r="F348" i="6"/>
  <c r="E348" i="6"/>
  <c r="F355" i="6"/>
  <c r="E355" i="6"/>
  <c r="F366" i="6"/>
  <c r="E366" i="6"/>
  <c r="F326" i="6"/>
  <c r="E326" i="6"/>
  <c r="F368" i="6"/>
  <c r="E368" i="6"/>
  <c r="K368" i="6" a="1"/>
  <c r="K368" i="6" s="1"/>
  <c r="F369" i="6"/>
  <c r="E369" i="6"/>
  <c r="K369" i="6" a="1"/>
  <c r="K369" i="6" s="1"/>
  <c r="E376" i="6"/>
  <c r="K376" i="6" a="1"/>
  <c r="K376" i="6" s="1"/>
  <c r="F376" i="6"/>
  <c r="F359" i="6"/>
  <c r="E359" i="6"/>
  <c r="F411" i="6"/>
  <c r="E411" i="6"/>
  <c r="K411" i="6" a="1"/>
  <c r="K411" i="6" s="1"/>
  <c r="F400" i="6"/>
  <c r="E400" i="6"/>
  <c r="K400" i="6" a="1"/>
  <c r="K400" i="6" s="1"/>
  <c r="E407" i="6"/>
  <c r="K407" i="6" a="1"/>
  <c r="K407" i="6" s="1"/>
  <c r="F407" i="6"/>
  <c r="K402" i="6" a="1"/>
  <c r="K402" i="6" s="1"/>
  <c r="F402" i="6"/>
  <c r="E402" i="6"/>
  <c r="K577" i="6" a="1"/>
  <c r="K577" i="6" s="1"/>
  <c r="F577" i="6"/>
  <c r="E577" i="6"/>
  <c r="F461" i="6"/>
  <c r="E461" i="6"/>
  <c r="K461" i="6" a="1"/>
  <c r="K461" i="6" s="1"/>
  <c r="F456" i="6"/>
  <c r="K456" i="6" a="1"/>
  <c r="K456" i="6" s="1"/>
  <c r="E456" i="6"/>
  <c r="E481" i="6"/>
  <c r="K481" i="6" a="1"/>
  <c r="K481" i="6" s="1"/>
  <c r="F481" i="6"/>
  <c r="K470" i="6" a="1"/>
  <c r="K470" i="6" s="1"/>
  <c r="F470" i="6"/>
  <c r="E470" i="6"/>
  <c r="E537" i="6"/>
  <c r="K537" i="6" a="1"/>
  <c r="K537" i="6" s="1"/>
  <c r="F537" i="6"/>
  <c r="E549" i="6"/>
  <c r="K549" i="6" a="1"/>
  <c r="K549" i="6" s="1"/>
  <c r="F549" i="6"/>
  <c r="K498" i="6" a="1"/>
  <c r="K498" i="6" s="1"/>
  <c r="F498" i="6"/>
  <c r="E498" i="6"/>
  <c r="E609" i="6"/>
  <c r="F609" i="6"/>
  <c r="K609" i="6" a="1"/>
  <c r="K609" i="6" s="1"/>
  <c r="F565" i="6"/>
  <c r="K565" i="6" a="1"/>
  <c r="K565" i="6" s="1"/>
  <c r="E565" i="6"/>
  <c r="E586" i="6"/>
  <c r="F586" i="6"/>
  <c r="K586" i="6" a="1"/>
  <c r="K586" i="6" s="1"/>
  <c r="E594" i="6"/>
  <c r="K594" i="6" a="1"/>
  <c r="K594" i="6" s="1"/>
  <c r="F594" i="6"/>
  <c r="F611" i="6"/>
  <c r="E611" i="6"/>
  <c r="K611" i="6" a="1"/>
  <c r="K611" i="6" s="1"/>
  <c r="E606" i="6"/>
  <c r="K606" i="6" a="1"/>
  <c r="K606" i="6" s="1"/>
  <c r="F606" i="6"/>
  <c r="F30" i="6"/>
  <c r="E30" i="6"/>
  <c r="F101" i="6"/>
  <c r="E101" i="6"/>
  <c r="F23" i="6"/>
  <c r="E23" i="6"/>
  <c r="F11" i="6"/>
  <c r="E11" i="6"/>
  <c r="F66" i="6"/>
  <c r="E66" i="6"/>
  <c r="F215" i="6"/>
  <c r="E215" i="6"/>
  <c r="F73" i="6"/>
  <c r="E73" i="6"/>
  <c r="F209" i="6"/>
  <c r="E209" i="6"/>
  <c r="E15" i="6"/>
  <c r="F15" i="6"/>
  <c r="E87" i="6"/>
  <c r="F87" i="6"/>
  <c r="F310" i="6"/>
  <c r="E310" i="6"/>
  <c r="F82" i="6"/>
  <c r="E82" i="6"/>
  <c r="F130" i="6"/>
  <c r="E130" i="6"/>
  <c r="F202" i="6"/>
  <c r="E202" i="6"/>
  <c r="F162" i="6"/>
  <c r="E162" i="6"/>
  <c r="F257" i="6"/>
  <c r="E257" i="6"/>
  <c r="F145" i="6"/>
  <c r="E145" i="6"/>
  <c r="F217" i="6"/>
  <c r="E217" i="6"/>
  <c r="F122" i="6"/>
  <c r="E122" i="6"/>
  <c r="F194" i="6"/>
  <c r="E194" i="6"/>
  <c r="F292" i="6"/>
  <c r="E292" i="6"/>
  <c r="E177" i="6"/>
  <c r="F177" i="6"/>
  <c r="F304" i="6"/>
  <c r="E304" i="6"/>
  <c r="F271" i="6"/>
  <c r="E271" i="6"/>
  <c r="F272" i="6"/>
  <c r="E272" i="6"/>
  <c r="F279" i="6"/>
  <c r="E279" i="6"/>
  <c r="F299" i="6"/>
  <c r="E299" i="6"/>
  <c r="F288" i="6"/>
  <c r="E288" i="6"/>
  <c r="F439" i="6"/>
  <c r="K439" i="6" a="1"/>
  <c r="K439" i="6" s="1"/>
  <c r="E439" i="6"/>
  <c r="F349" i="6"/>
  <c r="E349" i="6"/>
  <c r="F415" i="6"/>
  <c r="K415" i="6" a="1"/>
  <c r="K415" i="6" s="1"/>
  <c r="E415" i="6"/>
  <c r="F386" i="6"/>
  <c r="E386" i="6"/>
  <c r="K386" i="6" a="1"/>
  <c r="K386" i="6" s="1"/>
  <c r="F387" i="6"/>
  <c r="E387" i="6"/>
  <c r="K387" i="6" a="1"/>
  <c r="K387" i="6" s="1"/>
  <c r="F397" i="6"/>
  <c r="K397" i="6" a="1"/>
  <c r="K397" i="6" s="1"/>
  <c r="E397" i="6"/>
  <c r="K377" i="6" a="1"/>
  <c r="K377" i="6" s="1"/>
  <c r="F377" i="6"/>
  <c r="E377" i="6"/>
  <c r="F429" i="6"/>
  <c r="E429" i="6"/>
  <c r="K429" i="6" a="1"/>
  <c r="K429" i="6" s="1"/>
  <c r="F418" i="6"/>
  <c r="E418" i="6"/>
  <c r="K418" i="6" a="1"/>
  <c r="K418" i="6" s="1"/>
  <c r="E425" i="6"/>
  <c r="K425" i="6" a="1"/>
  <c r="K425" i="6" s="1"/>
  <c r="F425" i="6"/>
  <c r="K420" i="6" a="1"/>
  <c r="K420" i="6" s="1"/>
  <c r="F420" i="6"/>
  <c r="E420" i="6"/>
  <c r="F484" i="6"/>
  <c r="E484" i="6"/>
  <c r="K484" i="6" a="1"/>
  <c r="K484" i="6" s="1"/>
  <c r="F479" i="6"/>
  <c r="E479" i="6"/>
  <c r="K479" i="6" a="1"/>
  <c r="K479" i="6" s="1"/>
  <c r="F474" i="6"/>
  <c r="E474" i="6"/>
  <c r="K474" i="6" a="1"/>
  <c r="K474" i="6" s="1"/>
  <c r="F511" i="6"/>
  <c r="E511" i="6"/>
  <c r="K511" i="6" a="1"/>
  <c r="K511" i="6" s="1"/>
  <c r="K488" i="6" a="1"/>
  <c r="K488" i="6" s="1"/>
  <c r="F488" i="6"/>
  <c r="E488" i="6"/>
  <c r="F496" i="6"/>
  <c r="E496" i="6"/>
  <c r="K496" i="6" a="1"/>
  <c r="K496" i="6" s="1"/>
  <c r="E509" i="6"/>
  <c r="K509" i="6" a="1"/>
  <c r="K509" i="6" s="1"/>
  <c r="F509" i="6"/>
  <c r="K516" i="6" a="1"/>
  <c r="K516" i="6" s="1"/>
  <c r="F516" i="6"/>
  <c r="E516" i="6"/>
  <c r="F539" i="6"/>
  <c r="E539" i="6"/>
  <c r="K539" i="6" a="1"/>
  <c r="K539" i="6" s="1"/>
  <c r="E597" i="6"/>
  <c r="K597" i="6" a="1"/>
  <c r="K597" i="6" s="1"/>
  <c r="F597" i="6"/>
  <c r="K544" i="6" a="1"/>
  <c r="K544" i="6" s="1"/>
  <c r="E544" i="6"/>
  <c r="F544" i="6"/>
  <c r="K601" i="6" a="1"/>
  <c r="K601" i="6" s="1"/>
  <c r="F601" i="6"/>
  <c r="E601" i="6"/>
  <c r="G48" i="6" a="1"/>
  <c r="G48" i="6" s="1"/>
  <c r="H48" i="6" s="1" a="1"/>
  <c r="H48" i="6" s="1"/>
  <c r="F54" i="6"/>
  <c r="E54" i="6"/>
  <c r="E10" i="6"/>
  <c r="F10" i="6"/>
  <c r="F205" i="6"/>
  <c r="E205" i="6"/>
  <c r="F259" i="6"/>
  <c r="E259" i="6"/>
  <c r="F390" i="6"/>
  <c r="K390" i="6" a="1"/>
  <c r="K390" i="6" s="1"/>
  <c r="E390" i="6"/>
  <c r="F417" i="6"/>
  <c r="E417" i="6"/>
  <c r="K417" i="6" a="1"/>
  <c r="K417" i="6" s="1"/>
  <c r="E487" i="6"/>
  <c r="K487" i="6" a="1"/>
  <c r="K487" i="6" s="1"/>
  <c r="F487" i="6"/>
  <c r="F541" i="6"/>
  <c r="K541" i="6" a="1"/>
  <c r="K541" i="6" s="1"/>
  <c r="E541" i="6"/>
  <c r="F14" i="6"/>
  <c r="E14" i="6"/>
  <c r="F239" i="6"/>
  <c r="E239" i="6"/>
  <c r="F76" i="6"/>
  <c r="E76" i="6"/>
  <c r="F228" i="6"/>
  <c r="E228" i="6"/>
  <c r="E171" i="6"/>
  <c r="F171" i="6"/>
  <c r="F293" i="6"/>
  <c r="E293" i="6"/>
  <c r="E388" i="6"/>
  <c r="K388" i="6" a="1"/>
  <c r="K388" i="6" s="1"/>
  <c r="F388" i="6"/>
  <c r="K414" i="6" a="1"/>
  <c r="K414" i="6" s="1"/>
  <c r="F414" i="6"/>
  <c r="E414" i="6"/>
  <c r="F473" i="6"/>
  <c r="E473" i="6"/>
  <c r="K473" i="6" a="1"/>
  <c r="K473" i="6" s="1"/>
  <c r="E493" i="6"/>
  <c r="K493" i="6" a="1"/>
  <c r="K493" i="6" s="1"/>
  <c r="F493" i="6"/>
  <c r="G17" i="6" a="1"/>
  <c r="G17" i="6" s="1"/>
  <c r="H17" i="6" s="1" a="1"/>
  <c r="H17" i="6" s="1"/>
  <c r="F9" i="6"/>
  <c r="E9" i="6"/>
  <c r="F65" i="6"/>
  <c r="E65" i="6"/>
  <c r="F12" i="6"/>
  <c r="E12" i="6"/>
  <c r="F72" i="6"/>
  <c r="E72" i="6"/>
  <c r="F244" i="6"/>
  <c r="E244" i="6"/>
  <c r="F79" i="6"/>
  <c r="E79" i="6"/>
  <c r="F56" i="6"/>
  <c r="E56" i="6"/>
  <c r="E20" i="6"/>
  <c r="F20" i="6"/>
  <c r="E93" i="6"/>
  <c r="F93" i="6"/>
  <c r="F6" i="6"/>
  <c r="E6" i="6"/>
  <c r="F88" i="6"/>
  <c r="E88" i="6"/>
  <c r="F136" i="6"/>
  <c r="E136" i="6"/>
  <c r="F208" i="6"/>
  <c r="E208" i="6"/>
  <c r="F168" i="6"/>
  <c r="E168" i="6"/>
  <c r="F275" i="6"/>
  <c r="E275" i="6"/>
  <c r="F151" i="6"/>
  <c r="E151" i="6"/>
  <c r="F223" i="6"/>
  <c r="E223" i="6"/>
  <c r="F128" i="6"/>
  <c r="E128" i="6"/>
  <c r="F200" i="6"/>
  <c r="E200" i="6"/>
  <c r="E111" i="6"/>
  <c r="F111" i="6"/>
  <c r="E183" i="6"/>
  <c r="F183" i="6"/>
  <c r="F328" i="6"/>
  <c r="E328" i="6"/>
  <c r="F277" i="6"/>
  <c r="E277" i="6"/>
  <c r="F278" i="6"/>
  <c r="E278" i="6"/>
  <c r="F291" i="6"/>
  <c r="E291" i="6"/>
  <c r="F305" i="6"/>
  <c r="E305" i="6"/>
  <c r="F294" i="6"/>
  <c r="E294" i="6"/>
  <c r="E289" i="6"/>
  <c r="F289" i="6"/>
  <c r="F373" i="6"/>
  <c r="E373" i="6"/>
  <c r="K373" i="6" a="1"/>
  <c r="K373" i="6" s="1"/>
  <c r="F392" i="6"/>
  <c r="E392" i="6"/>
  <c r="K392" i="6" a="1"/>
  <c r="K392" i="6" s="1"/>
  <c r="F403" i="6"/>
  <c r="K403" i="6" a="1"/>
  <c r="K403" i="6" s="1"/>
  <c r="E403" i="6"/>
  <c r="F410" i="6"/>
  <c r="E410" i="6"/>
  <c r="K410" i="6" a="1"/>
  <c r="K410" i="6" s="1"/>
  <c r="F421" i="6"/>
  <c r="K421" i="6" a="1"/>
  <c r="K421" i="6" s="1"/>
  <c r="E421" i="6"/>
  <c r="K383" i="6" a="1"/>
  <c r="K383" i="6" s="1"/>
  <c r="F383" i="6"/>
  <c r="E383" i="6"/>
  <c r="F435" i="6"/>
  <c r="E435" i="6"/>
  <c r="K435" i="6" a="1"/>
  <c r="K435" i="6" s="1"/>
  <c r="F424" i="6"/>
  <c r="E424" i="6"/>
  <c r="K424" i="6" a="1"/>
  <c r="K424" i="6" s="1"/>
  <c r="E431" i="6"/>
  <c r="K431" i="6" a="1"/>
  <c r="K431" i="6" s="1"/>
  <c r="F431" i="6"/>
  <c r="K426" i="6" a="1"/>
  <c r="K426" i="6" s="1"/>
  <c r="F426" i="6"/>
  <c r="E426" i="6"/>
  <c r="F490" i="6"/>
  <c r="E490" i="6"/>
  <c r="K490" i="6" a="1"/>
  <c r="K490" i="6" s="1"/>
  <c r="F485" i="6"/>
  <c r="E485" i="6"/>
  <c r="K485" i="6" a="1"/>
  <c r="K485" i="6" s="1"/>
  <c r="F480" i="6"/>
  <c r="E480" i="6"/>
  <c r="K480" i="6" a="1"/>
  <c r="K480" i="6" s="1"/>
  <c r="K517" i="6" a="1"/>
  <c r="K517" i="6" s="1"/>
  <c r="F517" i="6"/>
  <c r="E517" i="6"/>
  <c r="K494" i="6" a="1"/>
  <c r="K494" i="6" s="1"/>
  <c r="F494" i="6"/>
  <c r="E494" i="6"/>
  <c r="F502" i="6"/>
  <c r="E502" i="6"/>
  <c r="K502" i="6" a="1"/>
  <c r="K502" i="6" s="1"/>
  <c r="F515" i="6"/>
  <c r="E515" i="6"/>
  <c r="K515" i="6" a="1"/>
  <c r="K515" i="6" s="1"/>
  <c r="K522" i="6" a="1"/>
  <c r="K522" i="6" s="1"/>
  <c r="F522" i="6"/>
  <c r="E522" i="6"/>
  <c r="F545" i="6"/>
  <c r="K545" i="6" a="1"/>
  <c r="K545" i="6" s="1"/>
  <c r="E545" i="6"/>
  <c r="E598" i="6"/>
  <c r="F598" i="6"/>
  <c r="K598" i="6" a="1"/>
  <c r="K598" i="6" s="1"/>
  <c r="K550" i="6" a="1"/>
  <c r="K550" i="6" s="1"/>
  <c r="E550" i="6"/>
  <c r="F550" i="6"/>
  <c r="K607" i="6" a="1"/>
  <c r="K607" i="6" s="1"/>
  <c r="E607" i="6"/>
  <c r="F607" i="6"/>
  <c r="G77" i="6" a="1"/>
  <c r="G77" i="6" s="1"/>
  <c r="H77" i="6" s="1" a="1"/>
  <c r="H77" i="6" s="1"/>
  <c r="G45" i="6" a="1"/>
  <c r="G45" i="6" s="1"/>
  <c r="H45" i="6" s="1" a="1"/>
  <c r="H45" i="6" s="1"/>
  <c r="F167" i="6"/>
  <c r="E167" i="6"/>
  <c r="F190" i="6"/>
  <c r="E190" i="6"/>
  <c r="E165" i="6"/>
  <c r="F165" i="6"/>
  <c r="F372" i="6"/>
  <c r="K372" i="6" a="1"/>
  <c r="K372" i="6" s="1"/>
  <c r="E372" i="6"/>
  <c r="E382" i="6"/>
  <c r="K382" i="6" a="1"/>
  <c r="K382" i="6" s="1"/>
  <c r="F382" i="6"/>
  <c r="F472" i="6"/>
  <c r="E472" i="6"/>
  <c r="K472" i="6" a="1"/>
  <c r="K472" i="6" s="1"/>
  <c r="E497" i="6"/>
  <c r="K497" i="6" a="1"/>
  <c r="K497" i="6" s="1"/>
  <c r="F497" i="6"/>
  <c r="F33" i="6"/>
  <c r="E33" i="6"/>
  <c r="F25" i="6"/>
  <c r="E25" i="6"/>
  <c r="F78" i="6"/>
  <c r="E78" i="6"/>
  <c r="E8" i="6"/>
  <c r="F8" i="6"/>
  <c r="F85" i="6"/>
  <c r="E85" i="6"/>
  <c r="F62" i="6"/>
  <c r="E62" i="6"/>
  <c r="E28" i="6"/>
  <c r="F28" i="6"/>
  <c r="E99" i="6"/>
  <c r="F99" i="6"/>
  <c r="F16" i="6"/>
  <c r="E16" i="6"/>
  <c r="F94" i="6"/>
  <c r="E94" i="6"/>
  <c r="E142" i="6"/>
  <c r="F142" i="6"/>
  <c r="F214" i="6"/>
  <c r="E214" i="6"/>
  <c r="F174" i="6"/>
  <c r="E174" i="6"/>
  <c r="F297" i="6"/>
  <c r="E297" i="6"/>
  <c r="F157" i="6"/>
  <c r="E157" i="6"/>
  <c r="F229" i="6"/>
  <c r="E229" i="6"/>
  <c r="F134" i="6"/>
  <c r="E134" i="6"/>
  <c r="F206" i="6"/>
  <c r="E206" i="6"/>
  <c r="E117" i="6"/>
  <c r="F117" i="6"/>
  <c r="E189" i="6"/>
  <c r="F189" i="6"/>
  <c r="F378" i="6"/>
  <c r="K378" i="6" a="1"/>
  <c r="K378" i="6" s="1"/>
  <c r="E378" i="6"/>
  <c r="F283" i="6"/>
  <c r="E283" i="6"/>
  <c r="F309" i="6"/>
  <c r="E309" i="6"/>
  <c r="F316" i="6"/>
  <c r="E316" i="6"/>
  <c r="F311" i="6"/>
  <c r="E311" i="6"/>
  <c r="F300" i="6"/>
  <c r="E300" i="6"/>
  <c r="E295" i="6"/>
  <c r="F295" i="6"/>
  <c r="F284" i="6"/>
  <c r="E284" i="6"/>
  <c r="F416" i="6"/>
  <c r="E416" i="6"/>
  <c r="K416" i="6" a="1"/>
  <c r="K416" i="6" s="1"/>
  <c r="F427" i="6"/>
  <c r="K427" i="6" a="1"/>
  <c r="K427" i="6" s="1"/>
  <c r="E427" i="6"/>
  <c r="F434" i="6"/>
  <c r="E434" i="6"/>
  <c r="K434" i="6" a="1"/>
  <c r="K434" i="6" s="1"/>
  <c r="F445" i="6"/>
  <c r="K445" i="6" a="1"/>
  <c r="K445" i="6" s="1"/>
  <c r="E445" i="6"/>
  <c r="K389" i="6" a="1"/>
  <c r="K389" i="6" s="1"/>
  <c r="F389" i="6"/>
  <c r="E389" i="6"/>
  <c r="F441" i="6"/>
  <c r="E441" i="6"/>
  <c r="K441" i="6" a="1"/>
  <c r="K441" i="6" s="1"/>
  <c r="F430" i="6"/>
  <c r="E430" i="6"/>
  <c r="K430" i="6" a="1"/>
  <c r="K430" i="6" s="1"/>
  <c r="E437" i="6"/>
  <c r="K437" i="6" a="1"/>
  <c r="K437" i="6" s="1"/>
  <c r="F437" i="6"/>
  <c r="K432" i="6" a="1"/>
  <c r="K432" i="6" s="1"/>
  <c r="F432" i="6"/>
  <c r="E432" i="6"/>
  <c r="F505" i="6"/>
  <c r="K505" i="6" a="1"/>
  <c r="K505" i="6" s="1"/>
  <c r="E505" i="6"/>
  <c r="F491" i="6"/>
  <c r="E491" i="6"/>
  <c r="K491" i="6" a="1"/>
  <c r="K491" i="6" s="1"/>
  <c r="F486" i="6"/>
  <c r="E486" i="6"/>
  <c r="K486" i="6" a="1"/>
  <c r="K486" i="6" s="1"/>
  <c r="E555" i="6"/>
  <c r="K555" i="6" a="1"/>
  <c r="K555" i="6" s="1"/>
  <c r="F555" i="6"/>
  <c r="K506" i="6" a="1"/>
  <c r="K506" i="6" s="1"/>
  <c r="F506" i="6"/>
  <c r="E506" i="6"/>
  <c r="F508" i="6"/>
  <c r="E508" i="6"/>
  <c r="K508" i="6" a="1"/>
  <c r="K508" i="6" s="1"/>
  <c r="F521" i="6"/>
  <c r="E521" i="6"/>
  <c r="K521" i="6" a="1"/>
  <c r="K521" i="6" s="1"/>
  <c r="K528" i="6" a="1"/>
  <c r="K528" i="6" s="1"/>
  <c r="F528" i="6"/>
  <c r="E528" i="6"/>
  <c r="F551" i="6"/>
  <c r="E551" i="6"/>
  <c r="K551" i="6" a="1"/>
  <c r="K551" i="6" s="1"/>
  <c r="F589" i="6"/>
  <c r="E589" i="6"/>
  <c r="K589" i="6" a="1"/>
  <c r="K589" i="6" s="1"/>
  <c r="K556" i="6" a="1"/>
  <c r="K556" i="6" s="1"/>
  <c r="E556" i="6"/>
  <c r="F556" i="6"/>
  <c r="K569" i="6" a="1"/>
  <c r="K569" i="6" s="1"/>
  <c r="F569" i="6"/>
  <c r="E569" i="6"/>
  <c r="F221" i="6"/>
  <c r="E221" i="6"/>
  <c r="F95" i="6"/>
  <c r="E95" i="6"/>
  <c r="E75" i="6"/>
  <c r="F75" i="6"/>
  <c r="F150" i="6"/>
  <c r="E150" i="6"/>
  <c r="F258" i="6"/>
  <c r="E258" i="6"/>
  <c r="F267" i="6"/>
  <c r="E267" i="6"/>
  <c r="F332" i="6"/>
  <c r="E332" i="6"/>
  <c r="E413" i="6"/>
  <c r="K413" i="6" a="1"/>
  <c r="K413" i="6" s="1"/>
  <c r="F413" i="6"/>
  <c r="F462" i="6"/>
  <c r="K462" i="6" a="1"/>
  <c r="K462" i="6" s="1"/>
  <c r="E462" i="6"/>
  <c r="F540" i="6"/>
  <c r="K540" i="6" a="1"/>
  <c r="K540" i="6" s="1"/>
  <c r="E540" i="6"/>
  <c r="E600" i="6"/>
  <c r="F600" i="6"/>
  <c r="K600" i="6" a="1"/>
  <c r="K600" i="6" s="1"/>
  <c r="F60" i="6"/>
  <c r="E60" i="6"/>
  <c r="F24" i="6"/>
  <c r="E24" i="6"/>
  <c r="F139" i="6"/>
  <c r="E139" i="6"/>
  <c r="F286" i="6"/>
  <c r="E286" i="6"/>
  <c r="F409" i="6"/>
  <c r="K409" i="6" a="1"/>
  <c r="K409" i="6" s="1"/>
  <c r="E409" i="6"/>
  <c r="K371" i="6" a="1"/>
  <c r="K371" i="6" s="1"/>
  <c r="F371" i="6"/>
  <c r="E371" i="6"/>
  <c r="F478" i="6"/>
  <c r="E478" i="6"/>
  <c r="K478" i="6" a="1"/>
  <c r="K478" i="6" s="1"/>
  <c r="K510" i="6" a="1"/>
  <c r="K510" i="6" s="1"/>
  <c r="F510" i="6"/>
  <c r="E510" i="6"/>
  <c r="G83" i="6" a="1"/>
  <c r="G83" i="6" s="1"/>
  <c r="H83" i="6" s="1" a="1"/>
  <c r="H83" i="6" s="1"/>
  <c r="J83" i="6" s="1" a="1"/>
  <c r="J83" i="6" s="1"/>
  <c r="G125" i="6" a="1"/>
  <c r="G125" i="6" s="1"/>
  <c r="H125" i="6" s="1" a="1"/>
  <c r="H125" i="6" s="1"/>
  <c r="F264" i="6"/>
  <c r="E264" i="6"/>
  <c r="F84" i="6"/>
  <c r="E84" i="6"/>
  <c r="E13" i="6"/>
  <c r="F13" i="6"/>
  <c r="F91" i="6"/>
  <c r="E91" i="6"/>
  <c r="F68" i="6"/>
  <c r="E68" i="6"/>
  <c r="E34" i="6"/>
  <c r="F34" i="6"/>
  <c r="E105" i="6"/>
  <c r="F105" i="6"/>
  <c r="F29" i="6"/>
  <c r="E29" i="6"/>
  <c r="F100" i="6"/>
  <c r="E100" i="6"/>
  <c r="F148" i="6"/>
  <c r="E148" i="6"/>
  <c r="F220" i="6"/>
  <c r="E220" i="6"/>
  <c r="F180" i="6"/>
  <c r="E180" i="6"/>
  <c r="F391" i="6"/>
  <c r="E391" i="6"/>
  <c r="K391" i="6" a="1"/>
  <c r="K391" i="6" s="1"/>
  <c r="F163" i="6"/>
  <c r="E163" i="6"/>
  <c r="F238" i="6"/>
  <c r="E238" i="6"/>
  <c r="F140" i="6"/>
  <c r="E140" i="6"/>
  <c r="F212" i="6"/>
  <c r="E212" i="6"/>
  <c r="E123" i="6"/>
  <c r="F123" i="6"/>
  <c r="E195" i="6"/>
  <c r="F195" i="6"/>
  <c r="F446" i="6"/>
  <c r="E446" i="6"/>
  <c r="K446" i="6" a="1"/>
  <c r="K446" i="6" s="1"/>
  <c r="F285" i="6"/>
  <c r="E285" i="6"/>
  <c r="F333" i="6"/>
  <c r="E333" i="6"/>
  <c r="F303" i="6"/>
  <c r="E303" i="6"/>
  <c r="F317" i="6"/>
  <c r="E317" i="6"/>
  <c r="F306" i="6"/>
  <c r="E306" i="6"/>
  <c r="E301" i="6"/>
  <c r="F301" i="6"/>
  <c r="F290" i="6"/>
  <c r="E290" i="6"/>
  <c r="F440" i="6"/>
  <c r="E440" i="6"/>
  <c r="K440" i="6" a="1"/>
  <c r="K440" i="6" s="1"/>
  <c r="F477" i="6"/>
  <c r="E477" i="6"/>
  <c r="K477" i="6" a="1"/>
  <c r="K477" i="6" s="1"/>
  <c r="E340" i="6"/>
  <c r="F340" i="6"/>
  <c r="F404" i="6"/>
  <c r="E404" i="6"/>
  <c r="K404" i="6" a="1"/>
  <c r="K404" i="6" s="1"/>
  <c r="F501" i="6"/>
  <c r="E501" i="6"/>
  <c r="K501" i="6" a="1"/>
  <c r="K501" i="6" s="1"/>
  <c r="F447" i="6"/>
  <c r="E447" i="6"/>
  <c r="K447" i="6" a="1"/>
  <c r="K447" i="6" s="1"/>
  <c r="F436" i="6"/>
  <c r="E436" i="6"/>
  <c r="K436" i="6" a="1"/>
  <c r="K436" i="6" s="1"/>
  <c r="E443" i="6"/>
  <c r="K443" i="6" a="1"/>
  <c r="K443" i="6" s="1"/>
  <c r="F443" i="6"/>
  <c r="K438" i="6" a="1"/>
  <c r="K438" i="6" s="1"/>
  <c r="F438" i="6"/>
  <c r="E438" i="6"/>
  <c r="F547" i="6"/>
  <c r="K547" i="6" a="1"/>
  <c r="K547" i="6" s="1"/>
  <c r="E547" i="6"/>
  <c r="K500" i="6" a="1"/>
  <c r="K500" i="6" s="1"/>
  <c r="F500" i="6"/>
  <c r="E500" i="6"/>
  <c r="F492" i="6"/>
  <c r="E492" i="6"/>
  <c r="K492" i="6" a="1"/>
  <c r="K492" i="6" s="1"/>
  <c r="F519" i="6"/>
  <c r="E519" i="6"/>
  <c r="K519" i="6" a="1"/>
  <c r="K519" i="6" s="1"/>
  <c r="F513" i="6"/>
  <c r="E513" i="6"/>
  <c r="K513" i="6" a="1"/>
  <c r="K513" i="6" s="1"/>
  <c r="F514" i="6"/>
  <c r="E514" i="6"/>
  <c r="K514" i="6" a="1"/>
  <c r="K514" i="6" s="1"/>
  <c r="F527" i="6"/>
  <c r="E527" i="6"/>
  <c r="K527" i="6" a="1"/>
  <c r="K527" i="6" s="1"/>
  <c r="K534" i="6" a="1"/>
  <c r="K534" i="6" s="1"/>
  <c r="F534" i="6"/>
  <c r="E534" i="6"/>
  <c r="F557" i="6"/>
  <c r="K557" i="6" a="1"/>
  <c r="K557" i="6" s="1"/>
  <c r="E557" i="6"/>
  <c r="F590" i="6"/>
  <c r="E590" i="6"/>
  <c r="K590" i="6" a="1"/>
  <c r="K590" i="6" s="1"/>
  <c r="K562" i="6" a="1"/>
  <c r="K562" i="6" s="1"/>
  <c r="E562" i="6"/>
  <c r="F562" i="6"/>
  <c r="E575" i="6"/>
  <c r="K575" i="6" a="1"/>
  <c r="K575" i="6" s="1"/>
  <c r="F575" i="6"/>
  <c r="F27" i="6"/>
  <c r="E27" i="6"/>
  <c r="F53" i="6"/>
  <c r="E53" i="6"/>
  <c r="F107" i="6"/>
  <c r="E107" i="6"/>
  <c r="F126" i="6"/>
  <c r="E126" i="6"/>
  <c r="F133" i="6"/>
  <c r="E133" i="6"/>
  <c r="F379" i="6"/>
  <c r="E379" i="6"/>
  <c r="K379" i="6" a="1"/>
  <c r="K379" i="6" s="1"/>
  <c r="F365" i="6"/>
  <c r="E365" i="6"/>
  <c r="K504" i="6" a="1"/>
  <c r="K504" i="6" s="1"/>
  <c r="F504" i="6"/>
  <c r="E504" i="6"/>
  <c r="F71" i="6"/>
  <c r="E71" i="6"/>
  <c r="F188" i="6"/>
  <c r="E188" i="6"/>
  <c r="F380" i="6"/>
  <c r="E380" i="6"/>
  <c r="K380" i="6" a="1"/>
  <c r="K380" i="6" s="1"/>
  <c r="E596" i="6"/>
  <c r="K596" i="6" a="1"/>
  <c r="K596" i="6" s="1"/>
  <c r="F596" i="6"/>
  <c r="F197" i="6"/>
  <c r="E197" i="6"/>
  <c r="G7" i="6" a="1"/>
  <c r="G7" i="6" s="1"/>
  <c r="H7" i="6" s="1" a="1"/>
  <c r="H7" i="6" s="1"/>
  <c r="F233" i="6"/>
  <c r="E233" i="6"/>
  <c r="F18" i="6"/>
  <c r="E18" i="6"/>
  <c r="F90" i="6"/>
  <c r="E90" i="6"/>
  <c r="F26" i="6"/>
  <c r="E26" i="6"/>
  <c r="F97" i="6"/>
  <c r="E97" i="6"/>
  <c r="F74" i="6"/>
  <c r="E74" i="6"/>
  <c r="E40" i="6"/>
  <c r="F40" i="6"/>
  <c r="F119" i="6"/>
  <c r="E119" i="6"/>
  <c r="F35" i="6"/>
  <c r="E35" i="6"/>
  <c r="F106" i="6"/>
  <c r="E106" i="6"/>
  <c r="F154" i="6"/>
  <c r="E154" i="6"/>
  <c r="F226" i="6"/>
  <c r="E226" i="6"/>
  <c r="F186" i="6"/>
  <c r="E186" i="6"/>
  <c r="F252" i="6"/>
  <c r="E252" i="6"/>
  <c r="F169" i="6"/>
  <c r="E169" i="6"/>
  <c r="F250" i="6"/>
  <c r="E250" i="6"/>
  <c r="F146" i="6"/>
  <c r="E146" i="6"/>
  <c r="F218" i="6"/>
  <c r="E218" i="6"/>
  <c r="E129" i="6"/>
  <c r="F129" i="6"/>
  <c r="E201" i="6"/>
  <c r="F201" i="6"/>
  <c r="F315" i="6"/>
  <c r="E315" i="6"/>
  <c r="F298" i="6"/>
  <c r="E298" i="6"/>
  <c r="F231" i="6"/>
  <c r="E231" i="6"/>
  <c r="F327" i="6"/>
  <c r="E327" i="6"/>
  <c r="F323" i="6"/>
  <c r="E323" i="6"/>
  <c r="F312" i="6"/>
  <c r="E312" i="6"/>
  <c r="E307" i="6"/>
  <c r="F307" i="6"/>
  <c r="F296" i="6"/>
  <c r="E296" i="6"/>
  <c r="F338" i="6"/>
  <c r="E338" i="6"/>
  <c r="F339" i="6"/>
  <c r="E339" i="6"/>
  <c r="E346" i="6"/>
  <c r="F346" i="6"/>
  <c r="F428" i="6"/>
  <c r="E428" i="6"/>
  <c r="K428" i="6" a="1"/>
  <c r="K428" i="6" s="1"/>
  <c r="F460" i="6"/>
  <c r="E460" i="6"/>
  <c r="K460" i="6" a="1"/>
  <c r="K460" i="6" s="1"/>
  <c r="F454" i="6"/>
  <c r="E454" i="6"/>
  <c r="K454" i="6" a="1"/>
  <c r="K454" i="6" s="1"/>
  <c r="F442" i="6"/>
  <c r="E442" i="6"/>
  <c r="K442" i="6" a="1"/>
  <c r="K442" i="6" s="1"/>
  <c r="E449" i="6"/>
  <c r="F449" i="6"/>
  <c r="K449" i="6" a="1"/>
  <c r="K449" i="6" s="1"/>
  <c r="K444" i="6" a="1"/>
  <c r="K444" i="6" s="1"/>
  <c r="F444" i="6"/>
  <c r="E444" i="6"/>
  <c r="K518" i="6" a="1"/>
  <c r="K518" i="6" s="1"/>
  <c r="F518" i="6"/>
  <c r="E518" i="6"/>
  <c r="K512" i="6" a="1"/>
  <c r="K512" i="6" s="1"/>
  <c r="F512" i="6"/>
  <c r="E512" i="6"/>
  <c r="K572" i="6" a="1"/>
  <c r="K572" i="6" s="1"/>
  <c r="F572" i="6"/>
  <c r="E572" i="6"/>
  <c r="E536" i="6"/>
  <c r="F536" i="6"/>
  <c r="K536" i="6" a="1"/>
  <c r="K536" i="6" s="1"/>
  <c r="E561" i="6"/>
  <c r="K561" i="6" a="1"/>
  <c r="K561" i="6" s="1"/>
  <c r="F561" i="6"/>
  <c r="F520" i="6"/>
  <c r="E520" i="6"/>
  <c r="K520" i="6" a="1"/>
  <c r="K520" i="6" s="1"/>
  <c r="F533" i="6"/>
  <c r="E533" i="6"/>
  <c r="K533" i="6" a="1"/>
  <c r="K533" i="6" s="1"/>
  <c r="F546" i="6"/>
  <c r="E546" i="6"/>
  <c r="K546" i="6" a="1"/>
  <c r="K546" i="6" s="1"/>
  <c r="F563" i="6"/>
  <c r="K563" i="6" a="1"/>
  <c r="K563" i="6" s="1"/>
  <c r="E563" i="6"/>
  <c r="F591" i="6"/>
  <c r="E591" i="6"/>
  <c r="K591" i="6" a="1"/>
  <c r="K591" i="6" s="1"/>
  <c r="K568" i="6" a="1"/>
  <c r="K568" i="6" s="1"/>
  <c r="E568" i="6"/>
  <c r="F568" i="6"/>
  <c r="E581" i="6"/>
  <c r="F581" i="6"/>
  <c r="K581" i="6" a="1"/>
  <c r="K581" i="6" s="1"/>
  <c r="F49" i="6"/>
  <c r="E49" i="6"/>
  <c r="F42" i="6"/>
  <c r="E42" i="6"/>
  <c r="F118" i="6"/>
  <c r="E118" i="6"/>
  <c r="F182" i="6"/>
  <c r="E182" i="6"/>
  <c r="F260" i="6"/>
  <c r="E260" i="6"/>
  <c r="F374" i="6"/>
  <c r="E374" i="6"/>
  <c r="K374" i="6" a="1"/>
  <c r="K374" i="6" s="1"/>
  <c r="F467" i="6"/>
  <c r="E467" i="6"/>
  <c r="K467" i="6" a="1"/>
  <c r="K467" i="6" s="1"/>
  <c r="K476" i="6" a="1"/>
  <c r="K476" i="6" s="1"/>
  <c r="F476" i="6"/>
  <c r="E476" i="6"/>
  <c r="E610" i="6"/>
  <c r="K610" i="6" a="1"/>
  <c r="K610" i="6" s="1"/>
  <c r="F610" i="6"/>
  <c r="F59" i="6"/>
  <c r="E59" i="6"/>
  <c r="F185" i="6"/>
  <c r="E185" i="6"/>
  <c r="F124" i="6"/>
  <c r="E124" i="6"/>
  <c r="F211" i="6"/>
  <c r="E211" i="6"/>
  <c r="F265" i="6"/>
  <c r="E265" i="6"/>
  <c r="F422" i="6"/>
  <c r="E422" i="6"/>
  <c r="K422" i="6" a="1"/>
  <c r="K422" i="6" s="1"/>
  <c r="F381" i="6"/>
  <c r="E381" i="6"/>
  <c r="K381" i="6" a="1"/>
  <c r="K381" i="6" s="1"/>
  <c r="E419" i="6"/>
  <c r="K419" i="6" a="1"/>
  <c r="K419" i="6" s="1"/>
  <c r="F419" i="6"/>
  <c r="K538" i="6" a="1"/>
  <c r="K538" i="6" s="1"/>
  <c r="F538" i="6"/>
  <c r="E538" i="6"/>
  <c r="F21" i="6"/>
  <c r="E21" i="6"/>
  <c r="F149" i="6"/>
  <c r="E149" i="6"/>
  <c r="F22" i="6"/>
  <c r="E22" i="6"/>
  <c r="F96" i="6"/>
  <c r="E96" i="6"/>
  <c r="F32" i="6"/>
  <c r="E32" i="6"/>
  <c r="F103" i="6"/>
  <c r="E103" i="6"/>
  <c r="F80" i="6"/>
  <c r="E80" i="6"/>
  <c r="E46" i="6"/>
  <c r="F46" i="6"/>
  <c r="F155" i="6"/>
  <c r="E155" i="6"/>
  <c r="F41" i="6"/>
  <c r="E41" i="6"/>
  <c r="F114" i="6"/>
  <c r="E114" i="6"/>
  <c r="F160" i="6"/>
  <c r="E160" i="6"/>
  <c r="F251" i="6"/>
  <c r="E251" i="6"/>
  <c r="F192" i="6"/>
  <c r="E192" i="6"/>
  <c r="F270" i="6"/>
  <c r="E270" i="6"/>
  <c r="F175" i="6"/>
  <c r="E175" i="6"/>
  <c r="F268" i="6"/>
  <c r="E268" i="6"/>
  <c r="F152" i="6"/>
  <c r="E152" i="6"/>
  <c r="F224" i="6"/>
  <c r="E224" i="6"/>
  <c r="E135" i="6"/>
  <c r="F135" i="6"/>
  <c r="E207" i="6"/>
  <c r="F207" i="6"/>
  <c r="F367" i="6"/>
  <c r="E367" i="6"/>
  <c r="K367" i="6" a="1"/>
  <c r="K367" i="6" s="1"/>
  <c r="F322" i="6"/>
  <c r="E322" i="6"/>
  <c r="F237" i="6"/>
  <c r="E237" i="6"/>
  <c r="F360" i="6"/>
  <c r="E360" i="6"/>
  <c r="F329" i="6"/>
  <c r="E329" i="6"/>
  <c r="F318" i="6"/>
  <c r="E318" i="6"/>
  <c r="E313" i="6"/>
  <c r="F313" i="6"/>
  <c r="F302" i="6"/>
  <c r="E302" i="6"/>
  <c r="F344" i="6"/>
  <c r="E344" i="6"/>
  <c r="F345" i="6"/>
  <c r="E345" i="6"/>
  <c r="E352" i="6"/>
  <c r="F352" i="6"/>
  <c r="F483" i="6"/>
  <c r="E483" i="6"/>
  <c r="K483" i="6" a="1"/>
  <c r="K483" i="6" s="1"/>
  <c r="F465" i="6"/>
  <c r="K465" i="6" a="1"/>
  <c r="K465" i="6" s="1"/>
  <c r="E465" i="6"/>
  <c r="F489" i="6"/>
  <c r="E489" i="6"/>
  <c r="K489" i="6" a="1"/>
  <c r="K489" i="6" s="1"/>
  <c r="F448" i="6"/>
  <c r="E448" i="6"/>
  <c r="K448" i="6" a="1"/>
  <c r="K448" i="6" s="1"/>
  <c r="F466" i="6"/>
  <c r="E466" i="6"/>
  <c r="K466" i="6" a="1"/>
  <c r="K466" i="6" s="1"/>
  <c r="E451" i="6"/>
  <c r="K451" i="6" a="1"/>
  <c r="K451" i="6" s="1"/>
  <c r="F451" i="6"/>
  <c r="K535" i="6" a="1"/>
  <c r="K535" i="6" s="1"/>
  <c r="F535" i="6"/>
  <c r="E535" i="6"/>
  <c r="E543" i="6"/>
  <c r="K543" i="6" a="1"/>
  <c r="K543" i="6" s="1"/>
  <c r="F543" i="6"/>
  <c r="F499" i="6"/>
  <c r="E499" i="6"/>
  <c r="K499" i="6" a="1"/>
  <c r="K499" i="6" s="1"/>
  <c r="E567" i="6"/>
  <c r="K567" i="6" a="1"/>
  <c r="K567" i="6" s="1"/>
  <c r="F567" i="6"/>
  <c r="E574" i="6"/>
  <c r="K574" i="6" a="1"/>
  <c r="K574" i="6" s="1"/>
  <c r="F574" i="6"/>
  <c r="F526" i="6"/>
  <c r="E526" i="6"/>
  <c r="K526" i="6" a="1"/>
  <c r="K526" i="6" s="1"/>
  <c r="F566" i="6"/>
  <c r="K566" i="6" a="1"/>
  <c r="K566" i="6" s="1"/>
  <c r="E566" i="6"/>
  <c r="F558" i="6"/>
  <c r="E558" i="6"/>
  <c r="K558" i="6" a="1"/>
  <c r="K558" i="6" s="1"/>
  <c r="K570" i="6" a="1"/>
  <c r="K570" i="6" s="1"/>
  <c r="F570" i="6"/>
  <c r="E570" i="6"/>
  <c r="E592" i="6"/>
  <c r="F592" i="6"/>
  <c r="K592" i="6" a="1"/>
  <c r="K592" i="6" s="1"/>
  <c r="E604" i="6"/>
  <c r="F604" i="6"/>
  <c r="K604" i="6" a="1"/>
  <c r="K604" i="6" s="1"/>
  <c r="E587" i="6"/>
  <c r="F587" i="6"/>
  <c r="K587" i="6" a="1"/>
  <c r="K587" i="6" s="1"/>
  <c r="F61" i="6"/>
  <c r="E61" i="6"/>
  <c r="F70" i="6"/>
  <c r="E70" i="6"/>
  <c r="F110" i="6"/>
  <c r="E110" i="6"/>
  <c r="F287" i="6"/>
  <c r="E287" i="6"/>
  <c r="F375" i="6"/>
  <c r="E375" i="6"/>
  <c r="K375" i="6" a="1"/>
  <c r="K375" i="6" s="1"/>
  <c r="K408" i="6" a="1"/>
  <c r="K408" i="6" s="1"/>
  <c r="F408" i="6"/>
  <c r="E408" i="6"/>
  <c r="E595" i="6"/>
  <c r="F595" i="6"/>
  <c r="K595" i="6" a="1"/>
  <c r="K595" i="6" s="1"/>
  <c r="G19" i="6" a="1"/>
  <c r="G19" i="6" s="1"/>
  <c r="H19" i="6" s="1" a="1"/>
  <c r="H19" i="6" s="1"/>
  <c r="F191" i="6"/>
  <c r="E191" i="6"/>
  <c r="E81" i="6"/>
  <c r="F81" i="6"/>
  <c r="F156" i="6"/>
  <c r="E156" i="6"/>
  <c r="F276" i="6"/>
  <c r="E276" i="6"/>
  <c r="F273" i="6"/>
  <c r="E273" i="6"/>
  <c r="E342" i="6"/>
  <c r="F342" i="6"/>
  <c r="F412" i="6"/>
  <c r="E412" i="6"/>
  <c r="K412" i="6" a="1"/>
  <c r="K412" i="6" s="1"/>
  <c r="F468" i="6"/>
  <c r="E468" i="6"/>
  <c r="K468" i="6" a="1"/>
  <c r="K468" i="6" s="1"/>
  <c r="K482" i="6" a="1"/>
  <c r="K482" i="6" s="1"/>
  <c r="F482" i="6"/>
  <c r="E482" i="6"/>
  <c r="F552" i="6"/>
  <c r="K552" i="6" a="1"/>
  <c r="K552" i="6" s="1"/>
  <c r="E552" i="6"/>
  <c r="E503" i="6"/>
  <c r="K503" i="6" a="1"/>
  <c r="K503" i="6" s="1"/>
  <c r="F503" i="6"/>
  <c r="F173" i="6"/>
  <c r="E173" i="6"/>
  <c r="F39" i="6"/>
  <c r="E39" i="6"/>
  <c r="F31" i="6"/>
  <c r="E31" i="6"/>
  <c r="F102" i="6"/>
  <c r="E102" i="6"/>
  <c r="F38" i="6"/>
  <c r="E38" i="6"/>
  <c r="F113" i="6"/>
  <c r="E113" i="6"/>
  <c r="F86" i="6"/>
  <c r="E86" i="6"/>
  <c r="E51" i="6"/>
  <c r="F51" i="6"/>
  <c r="F179" i="6"/>
  <c r="E179" i="6"/>
  <c r="F47" i="6"/>
  <c r="E47" i="6"/>
  <c r="F132" i="6"/>
  <c r="E132" i="6"/>
  <c r="E166" i="6"/>
  <c r="F166" i="6"/>
  <c r="F269" i="6"/>
  <c r="E269" i="6"/>
  <c r="F198" i="6"/>
  <c r="E198" i="6"/>
  <c r="F109" i="6"/>
  <c r="E109" i="6"/>
  <c r="F181" i="6"/>
  <c r="E181" i="6"/>
  <c r="F230" i="6"/>
  <c r="E230" i="6"/>
  <c r="F158" i="6"/>
  <c r="E158" i="6"/>
  <c r="F234" i="6"/>
  <c r="E234" i="6"/>
  <c r="E141" i="6"/>
  <c r="F141" i="6"/>
  <c r="E213" i="6"/>
  <c r="F213" i="6"/>
  <c r="F235" i="6"/>
  <c r="E235" i="6"/>
  <c r="F354" i="6"/>
  <c r="E354" i="6"/>
  <c r="F243" i="6"/>
  <c r="E243" i="6"/>
  <c r="F384" i="6"/>
  <c r="K384" i="6" a="1"/>
  <c r="K384" i="6" s="1"/>
  <c r="E384" i="6"/>
  <c r="F335" i="6"/>
  <c r="E335" i="6"/>
  <c r="F324" i="6"/>
  <c r="E324" i="6"/>
  <c r="E319" i="6"/>
  <c r="F319" i="6"/>
  <c r="F308" i="6"/>
  <c r="E308" i="6"/>
  <c r="F350" i="6"/>
  <c r="E350" i="6"/>
  <c r="F351" i="6"/>
  <c r="E351" i="6"/>
  <c r="E358" i="6"/>
  <c r="F358" i="6"/>
  <c r="F341" i="6"/>
  <c r="E341" i="6"/>
  <c r="F393" i="6"/>
  <c r="E393" i="6"/>
  <c r="K393" i="6" a="1"/>
  <c r="K393" i="6" s="1"/>
  <c r="E463" i="6"/>
  <c r="K463" i="6" a="1"/>
  <c r="K463" i="6" s="1"/>
  <c r="F463" i="6"/>
  <c r="F495" i="6"/>
  <c r="E495" i="6"/>
  <c r="K495" i="6" a="1"/>
  <c r="K495" i="6" s="1"/>
  <c r="E457" i="6"/>
  <c r="F457" i="6"/>
  <c r="K457" i="6" a="1"/>
  <c r="K457" i="6" s="1"/>
  <c r="F453" i="6"/>
  <c r="K453" i="6" a="1"/>
  <c r="K453" i="6" s="1"/>
  <c r="E453" i="6"/>
  <c r="F548" i="6"/>
  <c r="K548" i="6" a="1"/>
  <c r="K548" i="6" s="1"/>
  <c r="E548" i="6"/>
  <c r="F507" i="6"/>
  <c r="E507" i="6"/>
  <c r="K507" i="6" a="1"/>
  <c r="K507" i="6" s="1"/>
  <c r="K523" i="6" a="1"/>
  <c r="K523" i="6" s="1"/>
  <c r="F523" i="6"/>
  <c r="E523" i="6"/>
  <c r="K452" i="6" a="1"/>
  <c r="K452" i="6" s="1"/>
  <c r="F452" i="6"/>
  <c r="E452" i="6"/>
  <c r="K579" i="6" a="1"/>
  <c r="K579" i="6" s="1"/>
  <c r="E579" i="6"/>
  <c r="F579" i="6"/>
  <c r="F532" i="6"/>
  <c r="E532" i="6"/>
  <c r="K532" i="6" a="1"/>
  <c r="K532" i="6" s="1"/>
  <c r="E580" i="6"/>
  <c r="F580" i="6"/>
  <c r="K580" i="6" a="1"/>
  <c r="K580" i="6" s="1"/>
  <c r="K573" i="6" a="1"/>
  <c r="K573" i="6" s="1"/>
  <c r="F573" i="6"/>
  <c r="E573" i="6"/>
  <c r="F602" i="6"/>
  <c r="K602" i="6" a="1"/>
  <c r="K602" i="6" s="1"/>
  <c r="E602" i="6"/>
  <c r="F583" i="6"/>
  <c r="E583" i="6"/>
  <c r="K583" i="6" a="1"/>
  <c r="K583" i="6" s="1"/>
  <c r="K576" i="6" a="1"/>
  <c r="K576" i="6" s="1"/>
  <c r="F576" i="6"/>
  <c r="E576" i="6"/>
  <c r="E593" i="6"/>
  <c r="K593" i="6" a="1"/>
  <c r="K593" i="6" s="1"/>
  <c r="F593" i="6"/>
  <c r="F161" i="6"/>
  <c r="E161" i="6"/>
  <c r="F222" i="6"/>
  <c r="E222" i="6"/>
  <c r="F274" i="6"/>
  <c r="E274" i="6"/>
  <c r="F406" i="6"/>
  <c r="E406" i="6"/>
  <c r="K406" i="6" a="1"/>
  <c r="K406" i="6" s="1"/>
  <c r="F67" i="6"/>
  <c r="E67" i="6"/>
  <c r="F196" i="6"/>
  <c r="E196" i="6"/>
  <c r="F116" i="6"/>
  <c r="E116" i="6"/>
  <c r="F266" i="6"/>
  <c r="E266" i="6"/>
  <c r="F398" i="6"/>
  <c r="E398" i="6"/>
  <c r="K398" i="6" a="1"/>
  <c r="K398" i="6" s="1"/>
  <c r="F423" i="6"/>
  <c r="E423" i="6"/>
  <c r="K423" i="6" a="1"/>
  <c r="K423" i="6" s="1"/>
  <c r="F553" i="6"/>
  <c r="K553" i="6" a="1"/>
  <c r="K553" i="6" s="1"/>
  <c r="E553" i="6"/>
  <c r="F36" i="6"/>
  <c r="E36" i="6"/>
  <c r="F37" i="6"/>
  <c r="E37" i="6"/>
  <c r="F108" i="6"/>
  <c r="E108" i="6"/>
  <c r="F44" i="6"/>
  <c r="E44" i="6"/>
  <c r="F131" i="6"/>
  <c r="E131" i="6"/>
  <c r="F92" i="6"/>
  <c r="E92" i="6"/>
  <c r="E57" i="6"/>
  <c r="F57" i="6"/>
  <c r="F203" i="6"/>
  <c r="E203" i="6"/>
  <c r="F52" i="6"/>
  <c r="E52" i="6"/>
  <c r="F282" i="6"/>
  <c r="E282" i="6"/>
  <c r="F172" i="6"/>
  <c r="E172" i="6"/>
  <c r="F334" i="6"/>
  <c r="E334" i="6"/>
  <c r="F204" i="6"/>
  <c r="E204" i="6"/>
  <c r="F115" i="6"/>
  <c r="E115" i="6"/>
  <c r="F187" i="6"/>
  <c r="E187" i="6"/>
  <c r="F232" i="6"/>
  <c r="E232" i="6"/>
  <c r="F164" i="6"/>
  <c r="E164" i="6"/>
  <c r="F245" i="6"/>
  <c r="E245" i="6"/>
  <c r="E147" i="6"/>
  <c r="F147" i="6"/>
  <c r="E219" i="6"/>
  <c r="F219" i="6"/>
  <c r="F241" i="6"/>
  <c r="E241" i="6"/>
  <c r="F242" i="6"/>
  <c r="E242" i="6"/>
  <c r="F249" i="6"/>
  <c r="E249" i="6"/>
  <c r="F361" i="6"/>
  <c r="E361" i="6"/>
  <c r="E343" i="6"/>
  <c r="F343" i="6"/>
  <c r="F330" i="6"/>
  <c r="E330" i="6"/>
  <c r="E325" i="6"/>
  <c r="F325" i="6"/>
  <c r="F314" i="6"/>
  <c r="E314" i="6"/>
  <c r="F356" i="6"/>
  <c r="E356" i="6"/>
  <c r="F357" i="6"/>
  <c r="E357" i="6"/>
  <c r="E364" i="6"/>
  <c r="F364" i="6"/>
  <c r="F347" i="6"/>
  <c r="E347" i="6"/>
  <c r="F399" i="6"/>
  <c r="E399" i="6"/>
  <c r="K399" i="6" a="1"/>
  <c r="K399" i="6" s="1"/>
  <c r="K529" i="6" a="1"/>
  <c r="K529" i="6" s="1"/>
  <c r="F529" i="6"/>
  <c r="E529" i="6"/>
  <c r="E395" i="6"/>
  <c r="K395" i="6" a="1"/>
  <c r="K395" i="6" s="1"/>
  <c r="F395" i="6"/>
  <c r="F459" i="6"/>
  <c r="E459" i="6"/>
  <c r="K459" i="6" a="1"/>
  <c r="K459" i="6" s="1"/>
  <c r="F471" i="6"/>
  <c r="E471" i="6"/>
  <c r="K471" i="6" a="1"/>
  <c r="K471" i="6" s="1"/>
  <c r="K571" i="6" a="1"/>
  <c r="K571" i="6" s="1"/>
  <c r="F571" i="6"/>
  <c r="E571" i="6"/>
  <c r="E530" i="6"/>
  <c r="K530" i="6" a="1"/>
  <c r="K530" i="6" s="1"/>
  <c r="F530" i="6"/>
  <c r="E469" i="6"/>
  <c r="K469" i="6" a="1"/>
  <c r="K469" i="6" s="1"/>
  <c r="F469" i="6"/>
  <c r="K458" i="6" a="1"/>
  <c r="K458" i="6" s="1"/>
  <c r="F458" i="6"/>
  <c r="E458" i="6"/>
  <c r="F525" i="6"/>
  <c r="E525" i="6"/>
  <c r="K525" i="6" a="1"/>
  <c r="K525" i="6" s="1"/>
  <c r="F542" i="6"/>
  <c r="K542" i="6" a="1"/>
  <c r="K542" i="6" s="1"/>
  <c r="E542" i="6"/>
  <c r="F560" i="6"/>
  <c r="K560" i="6" a="1"/>
  <c r="K560" i="6" s="1"/>
  <c r="E560" i="6"/>
  <c r="E578" i="6"/>
  <c r="K578" i="6" a="1"/>
  <c r="K578" i="6" s="1"/>
  <c r="F578" i="6"/>
  <c r="F608" i="6"/>
  <c r="E608" i="6"/>
  <c r="K608" i="6" a="1"/>
  <c r="K608" i="6" s="1"/>
  <c r="F584" i="6"/>
  <c r="K584" i="6" a="1"/>
  <c r="K584" i="6" s="1"/>
  <c r="E584" i="6"/>
  <c r="K582" i="6" a="1"/>
  <c r="K582" i="6" s="1"/>
  <c r="F582" i="6"/>
  <c r="E582" i="6"/>
  <c r="E599" i="6"/>
  <c r="K599" i="6" a="1"/>
  <c r="K599" i="6" s="1"/>
  <c r="F599" i="6"/>
  <c r="G262" i="6" a="1"/>
  <c r="G262" i="6" s="1"/>
  <c r="H262" i="6" s="1" a="1"/>
  <c r="H262" i="6" s="1"/>
  <c r="F89" i="6"/>
  <c r="E89" i="6"/>
  <c r="F43" i="6"/>
  <c r="E43" i="6"/>
  <c r="F120" i="6"/>
  <c r="E120" i="6"/>
  <c r="F50" i="6"/>
  <c r="E50" i="6"/>
  <c r="F246" i="6"/>
  <c r="E246" i="6"/>
  <c r="F98" i="6"/>
  <c r="E98" i="6"/>
  <c r="E63" i="6"/>
  <c r="F63" i="6"/>
  <c r="F227" i="6"/>
  <c r="E227" i="6"/>
  <c r="F58" i="6"/>
  <c r="E58" i="6"/>
  <c r="F321" i="6"/>
  <c r="E321" i="6"/>
  <c r="F178" i="6"/>
  <c r="E178" i="6"/>
  <c r="F138" i="6"/>
  <c r="E138" i="6"/>
  <c r="F210" i="6"/>
  <c r="E210" i="6"/>
  <c r="F121" i="6"/>
  <c r="E121" i="6"/>
  <c r="F193" i="6"/>
  <c r="E193" i="6"/>
  <c r="F236" i="6"/>
  <c r="E236" i="6"/>
  <c r="F170" i="6"/>
  <c r="E170" i="6"/>
  <c r="F263" i="6"/>
  <c r="E263" i="6"/>
  <c r="E153" i="6"/>
  <c r="F153" i="6"/>
  <c r="E225" i="6"/>
  <c r="F225" i="6"/>
  <c r="F247" i="6"/>
  <c r="E247" i="6"/>
  <c r="F248" i="6"/>
  <c r="E248" i="6"/>
  <c r="F255" i="6"/>
  <c r="E255" i="6"/>
  <c r="F385" i="6"/>
  <c r="E385" i="6"/>
  <c r="K385" i="6" a="1"/>
  <c r="K385" i="6" s="1"/>
  <c r="E337" i="6"/>
  <c r="F337" i="6"/>
  <c r="F336" i="6"/>
  <c r="E336" i="6"/>
  <c r="E331" i="6"/>
  <c r="F331" i="6"/>
  <c r="E320" i="6"/>
  <c r="F320" i="6"/>
  <c r="F362" i="6"/>
  <c r="E362" i="6"/>
  <c r="F363" i="6"/>
  <c r="E363" i="6"/>
  <c r="E370" i="6"/>
  <c r="K370" i="6" a="1"/>
  <c r="K370" i="6" s="1"/>
  <c r="F370" i="6"/>
  <c r="F353" i="6"/>
  <c r="E353" i="6"/>
  <c r="F405" i="6"/>
  <c r="E405" i="6"/>
  <c r="K405" i="6" a="1"/>
  <c r="K405" i="6" s="1"/>
  <c r="F394" i="6"/>
  <c r="E394" i="6"/>
  <c r="K394" i="6" a="1"/>
  <c r="K394" i="6" s="1"/>
  <c r="E401" i="6"/>
  <c r="K401" i="6" a="1"/>
  <c r="K401" i="6" s="1"/>
  <c r="F401" i="6"/>
  <c r="K396" i="6" a="1"/>
  <c r="K396" i="6" s="1"/>
  <c r="F396" i="6"/>
  <c r="E396" i="6"/>
  <c r="E524" i="6"/>
  <c r="K524" i="6" a="1"/>
  <c r="K524" i="6" s="1"/>
  <c r="F524" i="6"/>
  <c r="E455" i="6"/>
  <c r="K455" i="6" a="1"/>
  <c r="K455" i="6" s="1"/>
  <c r="F455" i="6"/>
  <c r="F450" i="6"/>
  <c r="K450" i="6" a="1"/>
  <c r="K450" i="6" s="1"/>
  <c r="E450" i="6"/>
  <c r="E475" i="6"/>
  <c r="K475" i="6" a="1"/>
  <c r="K475" i="6" s="1"/>
  <c r="F475" i="6"/>
  <c r="K464" i="6" a="1"/>
  <c r="K464" i="6" s="1"/>
  <c r="F464" i="6"/>
  <c r="E464" i="6"/>
  <c r="F531" i="6"/>
  <c r="E531" i="6"/>
  <c r="K531" i="6" a="1"/>
  <c r="K531" i="6" s="1"/>
  <c r="F554" i="6"/>
  <c r="K554" i="6" a="1"/>
  <c r="K554" i="6" s="1"/>
  <c r="E554" i="6"/>
  <c r="F564" i="6"/>
  <c r="E564" i="6"/>
  <c r="K564" i="6" a="1"/>
  <c r="K564" i="6" s="1"/>
  <c r="K603" i="6" a="1"/>
  <c r="K603" i="6" s="1"/>
  <c r="E603" i="6"/>
  <c r="F603" i="6"/>
  <c r="F559" i="6"/>
  <c r="K559" i="6" a="1"/>
  <c r="K559" i="6" s="1"/>
  <c r="E559" i="6"/>
  <c r="F585" i="6"/>
  <c r="E585" i="6"/>
  <c r="K585" i="6" a="1"/>
  <c r="K585" i="6" s="1"/>
  <c r="F588" i="6"/>
  <c r="E588" i="6"/>
  <c r="K588" i="6" a="1"/>
  <c r="K588" i="6" s="1"/>
  <c r="E605" i="6"/>
  <c r="F605" i="6"/>
  <c r="K605" i="6" a="1"/>
  <c r="K605" i="6" s="1"/>
  <c r="AA119" i="13" l="1"/>
  <c r="AA147" i="13"/>
  <c r="AA151" i="13"/>
  <c r="AA139" i="13"/>
  <c r="AA152" i="13"/>
  <c r="AA133" i="13"/>
  <c r="AA150" i="13"/>
  <c r="AA148" i="13"/>
  <c r="AA135" i="13"/>
  <c r="AA141" i="13"/>
  <c r="AA153" i="13"/>
  <c r="AA124" i="13"/>
  <c r="AA142" i="13"/>
  <c r="AA137" i="13"/>
  <c r="AA122" i="13"/>
  <c r="I104" i="13"/>
  <c r="Z104" i="13" s="1"/>
  <c r="G105" i="13"/>
  <c r="I58" i="13"/>
  <c r="Z58" i="13" s="1"/>
  <c r="I57" i="13"/>
  <c r="W57" i="13" s="1"/>
  <c r="AA117" i="13"/>
  <c r="I59" i="13"/>
  <c r="W59" i="13" s="1"/>
  <c r="AA128" i="13"/>
  <c r="AA125" i="13"/>
  <c r="W55" i="13"/>
  <c r="AA121" i="13"/>
  <c r="AA115" i="13"/>
  <c r="AA136" i="13"/>
  <c r="AA145" i="13"/>
  <c r="AA118" i="13"/>
  <c r="AA120" i="13"/>
  <c r="AA123" i="13"/>
  <c r="AA146" i="13"/>
  <c r="AA134" i="13"/>
  <c r="AA140" i="13"/>
  <c r="AA127" i="13"/>
  <c r="AA144" i="13"/>
  <c r="AA130" i="13"/>
  <c r="AA143" i="13"/>
  <c r="W56" i="13"/>
  <c r="J262" i="6" a="1"/>
  <c r="J262" i="6" s="1"/>
  <c r="K262" i="6" a="1"/>
  <c r="K262" i="6" s="1"/>
  <c r="AJ132" i="13" a="1"/>
  <c r="AJ132" i="13" s="1"/>
  <c r="AJ115" i="13" a="1"/>
  <c r="AJ115" i="13" s="1"/>
  <c r="AJ127" i="13" a="1"/>
  <c r="AJ127" i="13" s="1"/>
  <c r="AJ135" i="13" a="1"/>
  <c r="AJ135" i="13" s="1"/>
  <c r="AJ137" i="13" a="1"/>
  <c r="AJ137" i="13" s="1"/>
  <c r="AJ147" i="13" a="1"/>
  <c r="AJ147" i="13" s="1"/>
  <c r="AJ124" i="13" a="1"/>
  <c r="AJ124" i="13" s="1"/>
  <c r="B24" i="6"/>
  <c r="AJ128" i="13" a="1"/>
  <c r="AJ128" i="13" s="1"/>
  <c r="AJ146" i="13" a="1"/>
  <c r="AJ146" i="13" s="1"/>
  <c r="AJ133" i="13" a="1"/>
  <c r="AJ133" i="13" s="1"/>
  <c r="AJ120" i="13" a="1"/>
  <c r="AJ120" i="13" s="1"/>
  <c r="AJ125" i="13" a="1"/>
  <c r="AJ125" i="13" s="1"/>
  <c r="AJ116" i="13" a="1"/>
  <c r="AJ116" i="13" s="1"/>
  <c r="AJ121" i="13" a="1"/>
  <c r="AJ121" i="13" s="1"/>
  <c r="AJ138" i="13" a="1"/>
  <c r="AJ138" i="13" s="1"/>
  <c r="AJ141" i="13" a="1"/>
  <c r="AJ141" i="13" s="1"/>
  <c r="AJ114" i="13" a="1"/>
  <c r="AJ114" i="13" s="1"/>
  <c r="AJ130" i="13" a="1"/>
  <c r="AJ130" i="13" s="1"/>
  <c r="AJ129" i="13" a="1"/>
  <c r="AJ129" i="13" s="1"/>
  <c r="AJ149" i="13" a="1"/>
  <c r="AJ149" i="13" s="1"/>
  <c r="AJ145" i="13" a="1"/>
  <c r="AJ145" i="13" s="1"/>
  <c r="AJ153" i="13" a="1"/>
  <c r="AJ153" i="13" s="1"/>
  <c r="AJ136" i="13" a="1"/>
  <c r="AJ136" i="13" s="1"/>
  <c r="AJ126" i="13" a="1"/>
  <c r="AJ126" i="13" s="1"/>
  <c r="AJ119" i="13" a="1"/>
  <c r="AJ119" i="13" s="1"/>
  <c r="AJ144" i="13" a="1"/>
  <c r="AJ144" i="13" s="1"/>
  <c r="AJ140" i="13" a="1"/>
  <c r="AJ140" i="13" s="1"/>
  <c r="AJ143" i="13" a="1"/>
  <c r="AJ143" i="13" s="1"/>
  <c r="AJ150" i="13" a="1"/>
  <c r="AJ150" i="13" s="1"/>
  <c r="AJ117" i="13" a="1"/>
  <c r="AJ117" i="13" s="1"/>
  <c r="AJ123" i="13" a="1"/>
  <c r="AJ123" i="13" s="1"/>
  <c r="AJ152" i="13" a="1"/>
  <c r="AJ152" i="13" s="1"/>
  <c r="AJ134" i="13" a="1"/>
  <c r="AJ134" i="13" s="1"/>
  <c r="AJ142" i="13" a="1"/>
  <c r="AJ142" i="13" s="1"/>
  <c r="AJ151" i="13" a="1"/>
  <c r="AJ151" i="13" s="1"/>
  <c r="AJ139" i="13" a="1"/>
  <c r="AJ139" i="13" s="1"/>
  <c r="AJ122" i="13" a="1"/>
  <c r="AJ122" i="13" s="1"/>
  <c r="AJ148" i="13" a="1"/>
  <c r="AJ148" i="13" s="1"/>
  <c r="AJ118" i="13" a="1"/>
  <c r="AJ118" i="13" s="1"/>
  <c r="AJ131" i="13" a="1"/>
  <c r="AJ131" i="13" s="1"/>
  <c r="R94" i="13"/>
  <c r="Q90" i="13"/>
  <c r="Q102" i="13"/>
  <c r="R95" i="13"/>
  <c r="Q91" i="13"/>
  <c r="Q103" i="13"/>
  <c r="Q99" i="13"/>
  <c r="R96" i="13"/>
  <c r="Q92" i="13"/>
  <c r="Q104" i="13"/>
  <c r="R85" i="13"/>
  <c r="R97" i="13"/>
  <c r="Q93" i="13"/>
  <c r="Q88" i="13"/>
  <c r="R104" i="13"/>
  <c r="R86" i="13"/>
  <c r="R98" i="13"/>
  <c r="Q94" i="13"/>
  <c r="R91" i="13"/>
  <c r="R87" i="13"/>
  <c r="R99" i="13"/>
  <c r="Q95" i="13"/>
  <c r="R92" i="13"/>
  <c r="R88" i="13"/>
  <c r="R100" i="13"/>
  <c r="Q96" i="13"/>
  <c r="Q87" i="13"/>
  <c r="R89" i="13"/>
  <c r="R101" i="13"/>
  <c r="Q85" i="13"/>
  <c r="Q97" i="13"/>
  <c r="R90" i="13"/>
  <c r="R102" i="13"/>
  <c r="Q86" i="13"/>
  <c r="Q98" i="13"/>
  <c r="R93" i="13"/>
  <c r="Q89" i="13"/>
  <c r="Q101" i="13"/>
  <c r="R103" i="13"/>
  <c r="Q100" i="13"/>
  <c r="B25" i="6" a="1"/>
  <c r="B25" i="6" s="1"/>
  <c r="M20" i="13" s="1" a="1"/>
  <c r="M20" i="13" s="1"/>
  <c r="W104" i="13"/>
  <c r="W58" i="13"/>
  <c r="M16" i="13" a="1"/>
  <c r="M16" i="13" s="1"/>
  <c r="M18" i="13" s="1"/>
  <c r="Z57" i="13"/>
  <c r="J125" i="6" a="1"/>
  <c r="J125" i="6" s="1"/>
  <c r="K125" i="6" a="1"/>
  <c r="K125" i="6" s="1"/>
  <c r="J77" i="6" a="1"/>
  <c r="J77" i="6" s="1"/>
  <c r="K77" i="6" a="1"/>
  <c r="K77" i="6" s="1"/>
  <c r="K83" i="6" a="1"/>
  <c r="K83" i="6" s="1"/>
  <c r="I83" i="6" s="1"/>
  <c r="J7" i="6" a="1"/>
  <c r="J7" i="6" s="1"/>
  <c r="K7" i="6" a="1"/>
  <c r="K7" i="6" s="1"/>
  <c r="J48" i="6" a="1"/>
  <c r="J48" i="6" s="1"/>
  <c r="K48" i="6" a="1"/>
  <c r="K48" i="6" s="1"/>
  <c r="I482" i="6"/>
  <c r="H482" i="6" a="1"/>
  <c r="H482" i="6" s="1"/>
  <c r="J482" i="6" s="1" a="1"/>
  <c r="J482" i="6" s="1"/>
  <c r="G482" i="6" a="1"/>
  <c r="G482" i="6" s="1"/>
  <c r="G24" i="6" a="1"/>
  <c r="G24" i="6" s="1"/>
  <c r="H24" i="6" s="1" a="1"/>
  <c r="H24" i="6" s="1"/>
  <c r="G283" i="6" a="1"/>
  <c r="G283" i="6" s="1"/>
  <c r="H283" i="6" s="1" a="1"/>
  <c r="H283" i="6" s="1"/>
  <c r="G11" i="6" a="1"/>
  <c r="G11" i="6" s="1"/>
  <c r="H11" i="6" s="1" a="1"/>
  <c r="H11" i="6" s="1"/>
  <c r="G450" i="6" a="1"/>
  <c r="G450" i="6" s="1"/>
  <c r="I450" i="6"/>
  <c r="H450" i="6" a="1"/>
  <c r="H450" i="6" s="1"/>
  <c r="J450" i="6" s="1" a="1"/>
  <c r="J450" i="6" s="1"/>
  <c r="G120" i="6" a="1"/>
  <c r="G120" i="6" s="1"/>
  <c r="H120" i="6" s="1" a="1"/>
  <c r="H120" i="6" s="1"/>
  <c r="G241" i="6" a="1"/>
  <c r="G241" i="6" s="1"/>
  <c r="H241" i="6" s="1" a="1"/>
  <c r="H241" i="6" s="1"/>
  <c r="G39" i="6" a="1"/>
  <c r="G39" i="6" s="1"/>
  <c r="H39" i="6" s="1" a="1"/>
  <c r="H39" i="6" s="1"/>
  <c r="G80" i="6" a="1"/>
  <c r="G80" i="6" s="1"/>
  <c r="H80" i="6" s="1" a="1"/>
  <c r="H80" i="6" s="1"/>
  <c r="H501" i="6" a="1"/>
  <c r="H501" i="6" s="1"/>
  <c r="J501" i="6" s="1" a="1"/>
  <c r="J501" i="6" s="1"/>
  <c r="G501" i="6" a="1"/>
  <c r="G501" i="6" s="1"/>
  <c r="I501" i="6"/>
  <c r="I427" i="6"/>
  <c r="H427" i="6" a="1"/>
  <c r="H427" i="6" s="1"/>
  <c r="J427" i="6" s="1" a="1"/>
  <c r="J427" i="6" s="1"/>
  <c r="G427" i="6" a="1"/>
  <c r="G427" i="6" s="1"/>
  <c r="G515" i="6" a="1"/>
  <c r="G515" i="6" s="1"/>
  <c r="I515" i="6"/>
  <c r="H515" i="6" a="1"/>
  <c r="H515" i="6" s="1"/>
  <c r="J515" i="6" s="1" a="1"/>
  <c r="J515" i="6" s="1"/>
  <c r="G9" i="6" a="1"/>
  <c r="G9" i="6" s="1"/>
  <c r="H9" i="6" s="1" a="1"/>
  <c r="H9" i="6" s="1"/>
  <c r="G288" i="6" a="1"/>
  <c r="G288" i="6" s="1"/>
  <c r="H288" i="6" s="1" a="1"/>
  <c r="H288" i="6" s="1"/>
  <c r="G254" i="6" a="1"/>
  <c r="G254" i="6" s="1"/>
  <c r="H254" i="6" s="1" a="1"/>
  <c r="H254" i="6" s="1"/>
  <c r="J17" i="6" a="1"/>
  <c r="J17" i="6" s="1"/>
  <c r="K17" i="6" a="1"/>
  <c r="K17" i="6" s="1"/>
  <c r="I396" i="6"/>
  <c r="H396" i="6" a="1"/>
  <c r="H396" i="6" s="1"/>
  <c r="J396" i="6" s="1" a="1"/>
  <c r="J396" i="6" s="1"/>
  <c r="G396" i="6" a="1"/>
  <c r="G396" i="6" s="1"/>
  <c r="I529" i="6"/>
  <c r="H529" i="6" a="1"/>
  <c r="H529" i="6" s="1"/>
  <c r="J529" i="6" s="1" a="1"/>
  <c r="J529" i="6" s="1"/>
  <c r="G529" i="6" a="1"/>
  <c r="G529" i="6" s="1"/>
  <c r="I401" i="6"/>
  <c r="G401" i="6" a="1"/>
  <c r="G401" i="6" s="1"/>
  <c r="H401" i="6" a="1"/>
  <c r="H401" i="6" s="1"/>
  <c r="J401" i="6" s="1" a="1"/>
  <c r="J401" i="6" s="1"/>
  <c r="I370" i="6"/>
  <c r="G370" i="6" a="1"/>
  <c r="G370" i="6" s="1"/>
  <c r="H370" i="6" a="1"/>
  <c r="H370" i="6" s="1"/>
  <c r="J370" i="6" s="1" a="1"/>
  <c r="J370" i="6" s="1"/>
  <c r="G331" i="6" a="1"/>
  <c r="G331" i="6" s="1"/>
  <c r="H331" i="6" s="1" a="1"/>
  <c r="H331" i="6" s="1"/>
  <c r="G153" i="6" a="1"/>
  <c r="G153" i="6" s="1"/>
  <c r="H153" i="6" s="1" a="1"/>
  <c r="H153" i="6" s="1"/>
  <c r="G63" i="6" a="1"/>
  <c r="G63" i="6" s="1"/>
  <c r="H63" i="6" s="1" a="1"/>
  <c r="H63" i="6" s="1"/>
  <c r="H599" i="6" a="1"/>
  <c r="H599" i="6" s="1"/>
  <c r="J599" i="6" s="1" a="1"/>
  <c r="J599" i="6" s="1"/>
  <c r="G599" i="6" a="1"/>
  <c r="G599" i="6" s="1"/>
  <c r="I599" i="6"/>
  <c r="H578" i="6" a="1"/>
  <c r="H578" i="6" s="1"/>
  <c r="J578" i="6" s="1" a="1"/>
  <c r="J578" i="6" s="1"/>
  <c r="I578" i="6"/>
  <c r="G578" i="6" a="1"/>
  <c r="G578" i="6" s="1"/>
  <c r="G343" i="6" a="1"/>
  <c r="G343" i="6" s="1"/>
  <c r="H343" i="6" s="1" a="1"/>
  <c r="H343" i="6" s="1"/>
  <c r="G593" i="6" a="1"/>
  <c r="G593" i="6" s="1"/>
  <c r="I593" i="6"/>
  <c r="H593" i="6" a="1"/>
  <c r="H593" i="6" s="1"/>
  <c r="J593" i="6" s="1" a="1"/>
  <c r="J593" i="6" s="1"/>
  <c r="G574" i="6" a="1"/>
  <c r="G574" i="6" s="1"/>
  <c r="I574" i="6"/>
  <c r="H574" i="6" a="1"/>
  <c r="H574" i="6" s="1"/>
  <c r="J574" i="6" s="1" a="1"/>
  <c r="J574" i="6" s="1"/>
  <c r="I419" i="6"/>
  <c r="H419" i="6" a="1"/>
  <c r="H419" i="6" s="1"/>
  <c r="J419" i="6" s="1" a="1"/>
  <c r="J419" i="6" s="1"/>
  <c r="G419" i="6" a="1"/>
  <c r="G419" i="6" s="1"/>
  <c r="H610" i="6" a="1"/>
  <c r="H610" i="6" s="1"/>
  <c r="J610" i="6" s="1" a="1"/>
  <c r="J610" i="6" s="1"/>
  <c r="G610" i="6" a="1"/>
  <c r="G610" i="6" s="1"/>
  <c r="I610" i="6"/>
  <c r="I561" i="6"/>
  <c r="G561" i="6" a="1"/>
  <c r="G561" i="6" s="1"/>
  <c r="H561" i="6" a="1"/>
  <c r="H561" i="6" s="1"/>
  <c r="J561" i="6" s="1" a="1"/>
  <c r="J561" i="6" s="1"/>
  <c r="H596" i="6" a="1"/>
  <c r="H596" i="6" s="1"/>
  <c r="J596" i="6" s="1" a="1"/>
  <c r="J596" i="6" s="1"/>
  <c r="I596" i="6"/>
  <c r="G596" i="6" a="1"/>
  <c r="G596" i="6" s="1"/>
  <c r="I575" i="6"/>
  <c r="H575" i="6" a="1"/>
  <c r="H575" i="6" s="1"/>
  <c r="J575" i="6" s="1" a="1"/>
  <c r="J575" i="6" s="1"/>
  <c r="G575" i="6" a="1"/>
  <c r="G575" i="6" s="1"/>
  <c r="I382" i="6"/>
  <c r="H382" i="6" a="1"/>
  <c r="H382" i="6" s="1"/>
  <c r="J382" i="6" s="1" a="1"/>
  <c r="J382" i="6" s="1"/>
  <c r="G382" i="6" a="1"/>
  <c r="G382" i="6" s="1"/>
  <c r="I550" i="6"/>
  <c r="G550" i="6" a="1"/>
  <c r="G550" i="6" s="1"/>
  <c r="H550" i="6" a="1"/>
  <c r="H550" i="6" s="1"/>
  <c r="J550" i="6" s="1" a="1"/>
  <c r="J550" i="6" s="1"/>
  <c r="I431" i="6"/>
  <c r="H431" i="6" a="1"/>
  <c r="H431" i="6" s="1"/>
  <c r="J431" i="6" s="1" a="1"/>
  <c r="J431" i="6" s="1"/>
  <c r="G431" i="6" a="1"/>
  <c r="G431" i="6" s="1"/>
  <c r="G183" i="6" a="1"/>
  <c r="G183" i="6" s="1"/>
  <c r="H183" i="6" s="1" a="1"/>
  <c r="H183" i="6" s="1"/>
  <c r="G93" i="6" a="1"/>
  <c r="G93" i="6" s="1"/>
  <c r="H93" i="6" s="1" a="1"/>
  <c r="H93" i="6" s="1"/>
  <c r="G606" i="6" a="1"/>
  <c r="G606" i="6" s="1"/>
  <c r="I606" i="6"/>
  <c r="H606" i="6" a="1"/>
  <c r="H606" i="6" s="1"/>
  <c r="J606" i="6" s="1" a="1"/>
  <c r="J606" i="6" s="1"/>
  <c r="I537" i="6"/>
  <c r="H537" i="6" a="1"/>
  <c r="H537" i="6" s="1"/>
  <c r="J537" i="6" s="1" a="1"/>
  <c r="J537" i="6" s="1"/>
  <c r="G537" i="6" a="1"/>
  <c r="G537" i="6" s="1"/>
  <c r="G573" i="6" a="1"/>
  <c r="G573" i="6" s="1"/>
  <c r="H573" i="6" a="1"/>
  <c r="H573" i="6" s="1"/>
  <c r="J573" i="6" s="1" a="1"/>
  <c r="J573" i="6" s="1"/>
  <c r="I573" i="6"/>
  <c r="G47" i="6" a="1"/>
  <c r="G47" i="6" s="1"/>
  <c r="H47" i="6" s="1" a="1"/>
  <c r="H47" i="6" s="1"/>
  <c r="I534" i="6"/>
  <c r="H534" i="6" a="1"/>
  <c r="H534" i="6" s="1"/>
  <c r="J534" i="6" s="1" a="1"/>
  <c r="J534" i="6" s="1"/>
  <c r="G534" i="6" a="1"/>
  <c r="G534" i="6" s="1"/>
  <c r="G208" i="6" a="1"/>
  <c r="G208" i="6" s="1"/>
  <c r="H208" i="6" s="1" a="1"/>
  <c r="H208" i="6" s="1"/>
  <c r="G585" i="6" a="1"/>
  <c r="G585" i="6" s="1"/>
  <c r="H585" i="6" a="1"/>
  <c r="H585" i="6" s="1"/>
  <c r="J585" i="6" s="1" a="1"/>
  <c r="J585" i="6" s="1"/>
  <c r="I585" i="6"/>
  <c r="G322" i="6" a="1"/>
  <c r="G322" i="6" s="1"/>
  <c r="H322" i="6" s="1" a="1"/>
  <c r="H322" i="6" s="1"/>
  <c r="G312" i="6" a="1"/>
  <c r="G312" i="6" s="1"/>
  <c r="H312" i="6" s="1" a="1"/>
  <c r="H312" i="6" s="1"/>
  <c r="G462" i="6" a="1"/>
  <c r="G462" i="6" s="1"/>
  <c r="I462" i="6"/>
  <c r="H462" i="6" a="1"/>
  <c r="H462" i="6" s="1"/>
  <c r="J462" i="6" s="1" a="1"/>
  <c r="J462" i="6" s="1"/>
  <c r="G62" i="6" a="1"/>
  <c r="G62" i="6" s="1"/>
  <c r="H62" i="6" s="1" a="1"/>
  <c r="H62" i="6" s="1"/>
  <c r="H541" i="6" a="1"/>
  <c r="H541" i="6" s="1"/>
  <c r="J541" i="6" s="1" a="1"/>
  <c r="J541" i="6" s="1"/>
  <c r="I541" i="6"/>
  <c r="G541" i="6" a="1"/>
  <c r="G541" i="6" s="1"/>
  <c r="G257" i="6" a="1"/>
  <c r="G257" i="6" s="1"/>
  <c r="H257" i="6" s="1" a="1"/>
  <c r="H257" i="6" s="1"/>
  <c r="G111" i="6" a="1"/>
  <c r="G111" i="6" s="1"/>
  <c r="H111" i="6" s="1" a="1"/>
  <c r="H111" i="6" s="1"/>
  <c r="G178" i="6" a="1"/>
  <c r="G178" i="6" s="1"/>
  <c r="H178" i="6" s="1" a="1"/>
  <c r="H178" i="6" s="1"/>
  <c r="I471" i="6"/>
  <c r="H471" i="6" a="1"/>
  <c r="H471" i="6" s="1"/>
  <c r="J471" i="6" s="1" a="1"/>
  <c r="J471" i="6" s="1"/>
  <c r="G471" i="6" a="1"/>
  <c r="G471" i="6" s="1"/>
  <c r="G36" i="6" a="1"/>
  <c r="G36" i="6" s="1"/>
  <c r="H36" i="6" s="1" a="1"/>
  <c r="H36" i="6" s="1"/>
  <c r="H453" i="6" a="1"/>
  <c r="H453" i="6" s="1"/>
  <c r="J453" i="6" s="1" a="1"/>
  <c r="J453" i="6" s="1"/>
  <c r="G453" i="6" a="1"/>
  <c r="G453" i="6" s="1"/>
  <c r="I453" i="6"/>
  <c r="G113" i="6" a="1"/>
  <c r="G113" i="6" s="1"/>
  <c r="H113" i="6" s="1" a="1"/>
  <c r="H113" i="6" s="1"/>
  <c r="I489" i="6"/>
  <c r="H489" i="6" a="1"/>
  <c r="H489" i="6" s="1"/>
  <c r="J489" i="6" s="1" a="1"/>
  <c r="J489" i="6" s="1"/>
  <c r="G489" i="6" a="1"/>
  <c r="G489" i="6" s="1"/>
  <c r="G49" i="6" a="1"/>
  <c r="G49" i="6" s="1"/>
  <c r="H49" i="6" s="1" a="1"/>
  <c r="H49" i="6" s="1"/>
  <c r="G18" i="6" a="1"/>
  <c r="G18" i="6" s="1"/>
  <c r="H18" i="6" s="1" a="1"/>
  <c r="H18" i="6" s="1"/>
  <c r="I440" i="6"/>
  <c r="H440" i="6" a="1"/>
  <c r="H440" i="6" s="1"/>
  <c r="J440" i="6" s="1" a="1"/>
  <c r="J440" i="6" s="1"/>
  <c r="G440" i="6" a="1"/>
  <c r="G440" i="6" s="1"/>
  <c r="I505" i="6"/>
  <c r="H505" i="6" a="1"/>
  <c r="H505" i="6" s="1"/>
  <c r="J505" i="6" s="1" a="1"/>
  <c r="J505" i="6" s="1"/>
  <c r="G505" i="6" a="1"/>
  <c r="G505" i="6" s="1"/>
  <c r="G25" i="6" a="1"/>
  <c r="G25" i="6" s="1"/>
  <c r="H25" i="6" s="1" a="1"/>
  <c r="H25" i="6" s="1"/>
  <c r="I373" i="6"/>
  <c r="H373" i="6" a="1"/>
  <c r="H373" i="6" s="1"/>
  <c r="J373" i="6" s="1" a="1"/>
  <c r="J373" i="6" s="1"/>
  <c r="G373" i="6" a="1"/>
  <c r="G373" i="6" s="1"/>
  <c r="G228" i="6" a="1"/>
  <c r="G228" i="6" s="1"/>
  <c r="H228" i="6" s="1" a="1"/>
  <c r="H228" i="6" s="1"/>
  <c r="H386" i="6" a="1"/>
  <c r="H386" i="6" s="1"/>
  <c r="J386" i="6" s="1" a="1"/>
  <c r="J386" i="6" s="1"/>
  <c r="G386" i="6" a="1"/>
  <c r="G386" i="6" s="1"/>
  <c r="I386" i="6"/>
  <c r="H565" i="6" a="1"/>
  <c r="H565" i="6" s="1"/>
  <c r="J565" i="6" s="1" a="1"/>
  <c r="J565" i="6" s="1"/>
  <c r="I565" i="6"/>
  <c r="G565" i="6" a="1"/>
  <c r="G565" i="6" s="1"/>
  <c r="G369" i="6" a="1"/>
  <c r="G369" i="6" s="1"/>
  <c r="I369" i="6"/>
  <c r="H369" i="6" a="1"/>
  <c r="H369" i="6" s="1"/>
  <c r="J369" i="6" s="1" a="1"/>
  <c r="J369" i="6" s="1"/>
  <c r="H455" i="6" a="1"/>
  <c r="H455" i="6" s="1"/>
  <c r="J455" i="6" s="1" a="1"/>
  <c r="J455" i="6" s="1"/>
  <c r="I455" i="6"/>
  <c r="G455" i="6" a="1"/>
  <c r="G455" i="6" s="1"/>
  <c r="I388" i="6"/>
  <c r="H388" i="6" a="1"/>
  <c r="H388" i="6" s="1"/>
  <c r="J388" i="6" s="1" a="1"/>
  <c r="J388" i="6" s="1"/>
  <c r="G388" i="6" a="1"/>
  <c r="G388" i="6" s="1"/>
  <c r="G347" i="6" a="1"/>
  <c r="G347" i="6" s="1"/>
  <c r="H347" i="6" s="1" a="1"/>
  <c r="H347" i="6" s="1"/>
  <c r="G232" i="6" a="1"/>
  <c r="G232" i="6" s="1"/>
  <c r="H232" i="6" s="1" a="1"/>
  <c r="H232" i="6" s="1"/>
  <c r="I523" i="6"/>
  <c r="H523" i="6" a="1"/>
  <c r="H523" i="6" s="1"/>
  <c r="J523" i="6" s="1" a="1"/>
  <c r="J523" i="6" s="1"/>
  <c r="G523" i="6" a="1"/>
  <c r="G523" i="6" s="1"/>
  <c r="I457" i="6"/>
  <c r="G457" i="6" a="1"/>
  <c r="G457" i="6" s="1"/>
  <c r="H457" i="6" a="1"/>
  <c r="H457" i="6" s="1"/>
  <c r="J457" i="6" s="1" a="1"/>
  <c r="J457" i="6" s="1"/>
  <c r="G308" i="6" a="1"/>
  <c r="G308" i="6" s="1"/>
  <c r="H308" i="6" s="1" a="1"/>
  <c r="H308" i="6" s="1"/>
  <c r="I587" i="6"/>
  <c r="H587" i="6" a="1"/>
  <c r="H587" i="6" s="1"/>
  <c r="J587" i="6" s="1" a="1"/>
  <c r="J587" i="6" s="1"/>
  <c r="G587" i="6" a="1"/>
  <c r="G587" i="6" s="1"/>
  <c r="G41" i="6" a="1"/>
  <c r="G41" i="6" s="1"/>
  <c r="H41" i="6" s="1" a="1"/>
  <c r="H41" i="6" s="1"/>
  <c r="G124" i="6" a="1"/>
  <c r="G124" i="6" s="1"/>
  <c r="H124" i="6" s="1" a="1"/>
  <c r="H124" i="6" s="1"/>
  <c r="I476" i="6"/>
  <c r="H476" i="6" a="1"/>
  <c r="H476" i="6" s="1"/>
  <c r="J476" i="6" s="1" a="1"/>
  <c r="J476" i="6" s="1"/>
  <c r="G476" i="6" a="1"/>
  <c r="G476" i="6" s="1"/>
  <c r="I581" i="6"/>
  <c r="H581" i="6" a="1"/>
  <c r="H581" i="6" s="1"/>
  <c r="J581" i="6" s="1" a="1"/>
  <c r="J581" i="6" s="1"/>
  <c r="G581" i="6" a="1"/>
  <c r="G581" i="6" s="1"/>
  <c r="I536" i="6"/>
  <c r="H536" i="6" a="1"/>
  <c r="H536" i="6" s="1"/>
  <c r="J536" i="6" s="1" a="1"/>
  <c r="J536" i="6" s="1"/>
  <c r="G536" i="6" a="1"/>
  <c r="G536" i="6" s="1"/>
  <c r="I444" i="6"/>
  <c r="H444" i="6" a="1"/>
  <c r="H444" i="6" s="1"/>
  <c r="J444" i="6" s="1" a="1"/>
  <c r="J444" i="6" s="1"/>
  <c r="G444" i="6" a="1"/>
  <c r="G444" i="6" s="1"/>
  <c r="G35" i="6" a="1"/>
  <c r="G35" i="6" s="1"/>
  <c r="H35" i="6" s="1" a="1"/>
  <c r="H35" i="6" s="1"/>
  <c r="G365" i="6" a="1"/>
  <c r="G365" i="6" s="1"/>
  <c r="H365" i="6" s="1" a="1"/>
  <c r="H365" i="6" s="1"/>
  <c r="G290" i="6" a="1"/>
  <c r="G290" i="6" s="1"/>
  <c r="H290" i="6" s="1" a="1"/>
  <c r="H290" i="6" s="1"/>
  <c r="G238" i="6" a="1"/>
  <c r="G238" i="6" s="1"/>
  <c r="H238" i="6" s="1" a="1"/>
  <c r="H238" i="6" s="1"/>
  <c r="G220" i="6" a="1"/>
  <c r="G220" i="6" s="1"/>
  <c r="H220" i="6" s="1" a="1"/>
  <c r="H220" i="6" s="1"/>
  <c r="I569" i="6"/>
  <c r="H569" i="6" a="1"/>
  <c r="H569" i="6" s="1"/>
  <c r="J569" i="6" s="1" a="1"/>
  <c r="J569" i="6" s="1"/>
  <c r="G569" i="6" a="1"/>
  <c r="G569" i="6" s="1"/>
  <c r="I528" i="6"/>
  <c r="H528" i="6" a="1"/>
  <c r="H528" i="6" s="1"/>
  <c r="J528" i="6" s="1" a="1"/>
  <c r="J528" i="6" s="1"/>
  <c r="G528" i="6" a="1"/>
  <c r="G528" i="6" s="1"/>
  <c r="I432" i="6"/>
  <c r="H432" i="6" a="1"/>
  <c r="H432" i="6" s="1"/>
  <c r="J432" i="6" s="1" a="1"/>
  <c r="J432" i="6" s="1"/>
  <c r="G432" i="6" a="1"/>
  <c r="G432" i="6" s="1"/>
  <c r="I389" i="6"/>
  <c r="H389" i="6" a="1"/>
  <c r="H389" i="6" s="1"/>
  <c r="J389" i="6" s="1" a="1"/>
  <c r="J389" i="6" s="1"/>
  <c r="G389" i="6" a="1"/>
  <c r="G389" i="6" s="1"/>
  <c r="G16" i="6" a="1"/>
  <c r="G16" i="6" s="1"/>
  <c r="H16" i="6" s="1" a="1"/>
  <c r="H16" i="6" s="1"/>
  <c r="G598" i="6" a="1"/>
  <c r="G598" i="6" s="1"/>
  <c r="H598" i="6" a="1"/>
  <c r="H598" i="6" s="1"/>
  <c r="J598" i="6" s="1" a="1"/>
  <c r="J598" i="6" s="1"/>
  <c r="I598" i="6"/>
  <c r="G136" i="6" a="1"/>
  <c r="G136" i="6" s="1"/>
  <c r="H136" i="6" s="1" a="1"/>
  <c r="H136" i="6" s="1"/>
  <c r="G76" i="6" a="1"/>
  <c r="G76" i="6" s="1"/>
  <c r="H76" i="6" s="1" a="1"/>
  <c r="H76" i="6" s="1"/>
  <c r="I601" i="6"/>
  <c r="H601" i="6" a="1"/>
  <c r="H601" i="6" s="1"/>
  <c r="J601" i="6" s="1" a="1"/>
  <c r="J601" i="6" s="1"/>
  <c r="G601" i="6" a="1"/>
  <c r="G601" i="6" s="1"/>
  <c r="I516" i="6"/>
  <c r="H516" i="6" a="1"/>
  <c r="H516" i="6" s="1"/>
  <c r="J516" i="6" s="1" a="1"/>
  <c r="J516" i="6" s="1"/>
  <c r="G516" i="6" a="1"/>
  <c r="G516" i="6" s="1"/>
  <c r="I420" i="6"/>
  <c r="H420" i="6" a="1"/>
  <c r="H420" i="6" s="1"/>
  <c r="J420" i="6" s="1" a="1"/>
  <c r="J420" i="6" s="1"/>
  <c r="G420" i="6" a="1"/>
  <c r="G420" i="6" s="1"/>
  <c r="I377" i="6"/>
  <c r="H377" i="6" a="1"/>
  <c r="H377" i="6" s="1"/>
  <c r="J377" i="6" s="1" a="1"/>
  <c r="J377" i="6" s="1"/>
  <c r="G377" i="6" a="1"/>
  <c r="G377" i="6" s="1"/>
  <c r="G609" i="6" a="1"/>
  <c r="G609" i="6" s="1"/>
  <c r="I609" i="6"/>
  <c r="H609" i="6" a="1"/>
  <c r="H609" i="6" s="1"/>
  <c r="J609" i="6" s="1" a="1"/>
  <c r="J609" i="6" s="1"/>
  <c r="I470" i="6"/>
  <c r="H470" i="6" a="1"/>
  <c r="H470" i="6" s="1"/>
  <c r="J470" i="6" s="1" a="1"/>
  <c r="J470" i="6" s="1"/>
  <c r="G470" i="6" a="1"/>
  <c r="G470" i="6" s="1"/>
  <c r="I577" i="6"/>
  <c r="H577" i="6" a="1"/>
  <c r="H577" i="6" s="1"/>
  <c r="J577" i="6" s="1" a="1"/>
  <c r="J577" i="6" s="1"/>
  <c r="G577" i="6" a="1"/>
  <c r="G577" i="6" s="1"/>
  <c r="G64" i="6" a="1"/>
  <c r="G64" i="6" s="1"/>
  <c r="H64" i="6" s="1" a="1"/>
  <c r="H64" i="6" s="1"/>
  <c r="G106" i="6" a="1"/>
  <c r="G106" i="6" s="1"/>
  <c r="H106" i="6" s="1" a="1"/>
  <c r="H106" i="6" s="1"/>
  <c r="I506" i="6"/>
  <c r="H506" i="6" a="1"/>
  <c r="H506" i="6" s="1"/>
  <c r="J506" i="6" s="1" a="1"/>
  <c r="J506" i="6" s="1"/>
  <c r="G506" i="6" a="1"/>
  <c r="G506" i="6" s="1"/>
  <c r="G291" i="6" a="1"/>
  <c r="G291" i="6" s="1"/>
  <c r="H291" i="6" s="1" a="1"/>
  <c r="H291" i="6" s="1"/>
  <c r="G356" i="6" a="1"/>
  <c r="G356" i="6" s="1"/>
  <c r="H356" i="6" s="1" a="1"/>
  <c r="H356" i="6" s="1"/>
  <c r="G266" i="6" a="1"/>
  <c r="G266" i="6" s="1"/>
  <c r="H266" i="6" s="1" a="1"/>
  <c r="H266" i="6" s="1"/>
  <c r="G335" i="6" a="1"/>
  <c r="G335" i="6" s="1"/>
  <c r="H335" i="6" s="1" a="1"/>
  <c r="H335" i="6" s="1"/>
  <c r="G191" i="6" a="1"/>
  <c r="G191" i="6" s="1"/>
  <c r="H191" i="6" s="1" a="1"/>
  <c r="H191" i="6" s="1"/>
  <c r="G224" i="6" a="1"/>
  <c r="G224" i="6" s="1"/>
  <c r="H224" i="6" s="1" a="1"/>
  <c r="H224" i="6" s="1"/>
  <c r="G260" i="6" a="1"/>
  <c r="G260" i="6" s="1"/>
  <c r="H260" i="6" s="1" a="1"/>
  <c r="H260" i="6" s="1"/>
  <c r="G252" i="6" a="1"/>
  <c r="G252" i="6" s="1"/>
  <c r="H252" i="6" s="1" a="1"/>
  <c r="H252" i="6" s="1"/>
  <c r="G126" i="6" a="1"/>
  <c r="G126" i="6" s="1"/>
  <c r="H126" i="6" s="1" a="1"/>
  <c r="H126" i="6" s="1"/>
  <c r="I446" i="6"/>
  <c r="H446" i="6" a="1"/>
  <c r="H446" i="6" s="1"/>
  <c r="J446" i="6" s="1" a="1"/>
  <c r="J446" i="6" s="1"/>
  <c r="G446" i="6" a="1"/>
  <c r="G446" i="6" s="1"/>
  <c r="G221" i="6" a="1"/>
  <c r="G221" i="6" s="1"/>
  <c r="H221" i="6" s="1" a="1"/>
  <c r="H221" i="6" s="1"/>
  <c r="I421" i="6"/>
  <c r="H421" i="6" a="1"/>
  <c r="H421" i="6" s="1"/>
  <c r="J421" i="6" s="1" a="1"/>
  <c r="J421" i="6" s="1"/>
  <c r="G421" i="6" a="1"/>
  <c r="G421" i="6" s="1"/>
  <c r="G259" i="6" a="1"/>
  <c r="G259" i="6" s="1"/>
  <c r="H259" i="6" s="1" a="1"/>
  <c r="H259" i="6" s="1"/>
  <c r="G271" i="6" a="1"/>
  <c r="G271" i="6" s="1"/>
  <c r="H271" i="6" s="1" a="1"/>
  <c r="H271" i="6" s="1"/>
  <c r="H461" i="6" a="1"/>
  <c r="H461" i="6" s="1"/>
  <c r="J461" i="6" s="1" a="1"/>
  <c r="J461" i="6" s="1"/>
  <c r="G461" i="6" a="1"/>
  <c r="G461" i="6" s="1"/>
  <c r="I461" i="6"/>
  <c r="G289" i="6" a="1"/>
  <c r="G289" i="6" s="1"/>
  <c r="H289" i="6" s="1" a="1"/>
  <c r="H289" i="6" s="1"/>
  <c r="I582" i="6"/>
  <c r="H582" i="6" a="1"/>
  <c r="H582" i="6" s="1"/>
  <c r="J582" i="6" s="1" a="1"/>
  <c r="J582" i="6" s="1"/>
  <c r="G582" i="6" a="1"/>
  <c r="G582" i="6" s="1"/>
  <c r="G274" i="6" a="1"/>
  <c r="G274" i="6" s="1"/>
  <c r="H274" i="6" s="1" a="1"/>
  <c r="H274" i="6" s="1"/>
  <c r="H531" i="6" a="1"/>
  <c r="H531" i="6" s="1"/>
  <c r="J531" i="6" s="1" a="1"/>
  <c r="J531" i="6" s="1"/>
  <c r="G531" i="6" a="1"/>
  <c r="G531" i="6" s="1"/>
  <c r="I531" i="6"/>
  <c r="G336" i="6" a="1"/>
  <c r="G336" i="6" s="1"/>
  <c r="H336" i="6" s="1" a="1"/>
  <c r="H336" i="6" s="1"/>
  <c r="G263" i="6" a="1"/>
  <c r="G263" i="6" s="1"/>
  <c r="H263" i="6" s="1" a="1"/>
  <c r="H263" i="6" s="1"/>
  <c r="G121" i="6" a="1"/>
  <c r="G121" i="6" s="1"/>
  <c r="H121" i="6" s="1" a="1"/>
  <c r="H121" i="6" s="1"/>
  <c r="G98" i="6" a="1"/>
  <c r="G98" i="6" s="1"/>
  <c r="H98" i="6" s="1" a="1"/>
  <c r="H98" i="6" s="1"/>
  <c r="G43" i="6" a="1"/>
  <c r="G43" i="6" s="1"/>
  <c r="H43" i="6" s="1" a="1"/>
  <c r="H43" i="6" s="1"/>
  <c r="G560" i="6" a="1"/>
  <c r="G560" i="6" s="1"/>
  <c r="H560" i="6" a="1"/>
  <c r="H560" i="6" s="1"/>
  <c r="J560" i="6" s="1" a="1"/>
  <c r="J560" i="6" s="1"/>
  <c r="I560" i="6"/>
  <c r="H459" i="6" a="1"/>
  <c r="H459" i="6" s="1"/>
  <c r="J459" i="6" s="1" a="1"/>
  <c r="J459" i="6" s="1"/>
  <c r="G459" i="6" a="1"/>
  <c r="G459" i="6" s="1"/>
  <c r="I459" i="6"/>
  <c r="G361" i="6" a="1"/>
  <c r="G361" i="6" s="1"/>
  <c r="H361" i="6" s="1" a="1"/>
  <c r="H361" i="6" s="1"/>
  <c r="G334" i="6" a="1"/>
  <c r="G334" i="6" s="1"/>
  <c r="H334" i="6" s="1" a="1"/>
  <c r="H334" i="6" s="1"/>
  <c r="G203" i="6" a="1"/>
  <c r="G203" i="6" s="1"/>
  <c r="H203" i="6" s="1" a="1"/>
  <c r="H203" i="6" s="1"/>
  <c r="G44" i="6" a="1"/>
  <c r="G44" i="6" s="1"/>
  <c r="H44" i="6" s="1" a="1"/>
  <c r="H44" i="6" s="1"/>
  <c r="H553" i="6" a="1"/>
  <c r="H553" i="6" s="1"/>
  <c r="J553" i="6" s="1" a="1"/>
  <c r="J553" i="6" s="1"/>
  <c r="I553" i="6"/>
  <c r="G553" i="6" a="1"/>
  <c r="G553" i="6" s="1"/>
  <c r="G116" i="6" a="1"/>
  <c r="G116" i="6" s="1"/>
  <c r="H116" i="6" s="1" a="1"/>
  <c r="H116" i="6" s="1"/>
  <c r="I384" i="6"/>
  <c r="H384" i="6" a="1"/>
  <c r="H384" i="6" s="1"/>
  <c r="J384" i="6" s="1" a="1"/>
  <c r="J384" i="6" s="1"/>
  <c r="G384" i="6" a="1"/>
  <c r="G384" i="6" s="1"/>
  <c r="G230" i="6" a="1"/>
  <c r="G230" i="6" s="1"/>
  <c r="H230" i="6" s="1" a="1"/>
  <c r="H230" i="6" s="1"/>
  <c r="G269" i="6" a="1"/>
  <c r="G269" i="6" s="1"/>
  <c r="H269" i="6" s="1" a="1"/>
  <c r="H269" i="6" s="1"/>
  <c r="G179" i="6" a="1"/>
  <c r="G179" i="6" s="1"/>
  <c r="H179" i="6" s="1" a="1"/>
  <c r="H179" i="6" s="1"/>
  <c r="G38" i="6" a="1"/>
  <c r="G38" i="6" s="1"/>
  <c r="H38" i="6" s="1" a="1"/>
  <c r="H38" i="6" s="1"/>
  <c r="G173" i="6" a="1"/>
  <c r="G173" i="6" s="1"/>
  <c r="H173" i="6" s="1" a="1"/>
  <c r="H173" i="6" s="1"/>
  <c r="G468" i="6" a="1"/>
  <c r="G468" i="6" s="1"/>
  <c r="I468" i="6"/>
  <c r="H468" i="6" a="1"/>
  <c r="H468" i="6" s="1"/>
  <c r="J468" i="6" s="1" a="1"/>
  <c r="J468" i="6" s="1"/>
  <c r="G276" i="6" a="1"/>
  <c r="G276" i="6" s="1"/>
  <c r="H276" i="6" s="1" a="1"/>
  <c r="H276" i="6" s="1"/>
  <c r="G287" i="6" a="1"/>
  <c r="G287" i="6" s="1"/>
  <c r="H287" i="6" s="1" a="1"/>
  <c r="H287" i="6" s="1"/>
  <c r="I558" i="6"/>
  <c r="G558" i="6" a="1"/>
  <c r="G558" i="6" s="1"/>
  <c r="H558" i="6" a="1"/>
  <c r="H558" i="6" s="1"/>
  <c r="J558" i="6" s="1" a="1"/>
  <c r="J558" i="6" s="1"/>
  <c r="H465" i="6" a="1"/>
  <c r="H465" i="6" s="1"/>
  <c r="J465" i="6" s="1" a="1"/>
  <c r="J465" i="6" s="1"/>
  <c r="G465" i="6" a="1"/>
  <c r="G465" i="6" s="1"/>
  <c r="I465" i="6"/>
  <c r="G344" i="6" a="1"/>
  <c r="G344" i="6" s="1"/>
  <c r="H344" i="6" s="1" a="1"/>
  <c r="H344" i="6" s="1"/>
  <c r="G329" i="6" a="1"/>
  <c r="G329" i="6" s="1"/>
  <c r="H329" i="6" s="1" a="1"/>
  <c r="H329" i="6" s="1"/>
  <c r="I367" i="6"/>
  <c r="H367" i="6" a="1"/>
  <c r="H367" i="6" s="1"/>
  <c r="J367" i="6" s="1" a="1"/>
  <c r="J367" i="6" s="1"/>
  <c r="G367" i="6" a="1"/>
  <c r="G367" i="6" s="1"/>
  <c r="G152" i="6" a="1"/>
  <c r="G152" i="6" s="1"/>
  <c r="H152" i="6" s="1" a="1"/>
  <c r="H152" i="6" s="1"/>
  <c r="G192" i="6" a="1"/>
  <c r="G192" i="6" s="1"/>
  <c r="H192" i="6" s="1" a="1"/>
  <c r="H192" i="6" s="1"/>
  <c r="G103" i="6" a="1"/>
  <c r="G103" i="6" s="1"/>
  <c r="H103" i="6" s="1" a="1"/>
  <c r="H103" i="6" s="1"/>
  <c r="G149" i="6" a="1"/>
  <c r="G149" i="6" s="1"/>
  <c r="H149" i="6" s="1" a="1"/>
  <c r="H149" i="6" s="1"/>
  <c r="G381" i="6" a="1"/>
  <c r="G381" i="6" s="1"/>
  <c r="I381" i="6"/>
  <c r="H381" i="6" a="1"/>
  <c r="H381" i="6" s="1"/>
  <c r="J381" i="6" s="1" a="1"/>
  <c r="J381" i="6" s="1"/>
  <c r="G182" i="6" a="1"/>
  <c r="G182" i="6" s="1"/>
  <c r="H182" i="6" s="1" a="1"/>
  <c r="H182" i="6" s="1"/>
  <c r="I546" i="6"/>
  <c r="H546" i="6" a="1"/>
  <c r="H546" i="6" s="1"/>
  <c r="J546" i="6" s="1" a="1"/>
  <c r="J546" i="6" s="1"/>
  <c r="G546" i="6" a="1"/>
  <c r="G546" i="6" s="1"/>
  <c r="I460" i="6"/>
  <c r="G460" i="6" a="1"/>
  <c r="G460" i="6" s="1"/>
  <c r="H460" i="6" a="1"/>
  <c r="H460" i="6" s="1"/>
  <c r="J460" i="6" s="1" a="1"/>
  <c r="J460" i="6" s="1"/>
  <c r="G338" i="6" a="1"/>
  <c r="G338" i="6" s="1"/>
  <c r="H338" i="6" s="1" a="1"/>
  <c r="H338" i="6" s="1"/>
  <c r="G323" i="6" a="1"/>
  <c r="G323" i="6" s="1"/>
  <c r="H323" i="6" s="1" a="1"/>
  <c r="H323" i="6" s="1"/>
  <c r="G315" i="6" a="1"/>
  <c r="G315" i="6" s="1"/>
  <c r="H315" i="6" s="1" a="1"/>
  <c r="H315" i="6" s="1"/>
  <c r="G146" i="6" a="1"/>
  <c r="G146" i="6" s="1"/>
  <c r="H146" i="6" s="1" a="1"/>
  <c r="H146" i="6" s="1"/>
  <c r="G186" i="6" a="1"/>
  <c r="G186" i="6" s="1"/>
  <c r="H186" i="6" s="1" a="1"/>
  <c r="H186" i="6" s="1"/>
  <c r="G97" i="6" a="1"/>
  <c r="G97" i="6" s="1"/>
  <c r="H97" i="6" s="1" a="1"/>
  <c r="H97" i="6" s="1"/>
  <c r="G233" i="6" a="1"/>
  <c r="G233" i="6" s="1"/>
  <c r="H233" i="6" s="1" a="1"/>
  <c r="H233" i="6" s="1"/>
  <c r="H380" i="6" a="1"/>
  <c r="H380" i="6" s="1"/>
  <c r="J380" i="6" s="1" a="1"/>
  <c r="J380" i="6" s="1"/>
  <c r="G380" i="6" a="1"/>
  <c r="G380" i="6" s="1"/>
  <c r="I380" i="6"/>
  <c r="G107" i="6" a="1"/>
  <c r="G107" i="6" s="1"/>
  <c r="H107" i="6" s="1" a="1"/>
  <c r="H107" i="6" s="1"/>
  <c r="I527" i="6"/>
  <c r="H527" i="6" a="1"/>
  <c r="H527" i="6" s="1"/>
  <c r="J527" i="6" s="1" a="1"/>
  <c r="J527" i="6" s="1"/>
  <c r="G527" i="6" a="1"/>
  <c r="G527" i="6" s="1"/>
  <c r="G492" i="6" a="1"/>
  <c r="G492" i="6" s="1"/>
  <c r="I492" i="6"/>
  <c r="H492" i="6" a="1"/>
  <c r="H492" i="6" s="1"/>
  <c r="J492" i="6" s="1" a="1"/>
  <c r="J492" i="6" s="1"/>
  <c r="I404" i="6"/>
  <c r="H404" i="6" a="1"/>
  <c r="H404" i="6" s="1"/>
  <c r="J404" i="6" s="1" a="1"/>
  <c r="J404" i="6" s="1"/>
  <c r="G404" i="6" a="1"/>
  <c r="G404" i="6" s="1"/>
  <c r="G303" i="6" a="1"/>
  <c r="G303" i="6" s="1"/>
  <c r="H303" i="6" s="1" a="1"/>
  <c r="H303" i="6" s="1"/>
  <c r="I409" i="6"/>
  <c r="H409" i="6" a="1"/>
  <c r="H409" i="6" s="1"/>
  <c r="J409" i="6" s="1" a="1"/>
  <c r="J409" i="6" s="1"/>
  <c r="G409" i="6" a="1"/>
  <c r="G409" i="6" s="1"/>
  <c r="G60" i="6" a="1"/>
  <c r="G60" i="6" s="1"/>
  <c r="H60" i="6" s="1" a="1"/>
  <c r="H60" i="6" s="1"/>
  <c r="G150" i="6" a="1"/>
  <c r="G150" i="6" s="1"/>
  <c r="H150" i="6" s="1" a="1"/>
  <c r="H150" i="6" s="1"/>
  <c r="I416" i="6"/>
  <c r="H416" i="6" a="1"/>
  <c r="H416" i="6" s="1"/>
  <c r="J416" i="6" s="1" a="1"/>
  <c r="J416" i="6" s="1"/>
  <c r="G416" i="6" a="1"/>
  <c r="G416" i="6" s="1"/>
  <c r="G311" i="6" a="1"/>
  <c r="G311" i="6" s="1"/>
  <c r="H311" i="6" s="1" a="1"/>
  <c r="H311" i="6" s="1"/>
  <c r="I378" i="6"/>
  <c r="H378" i="6" a="1"/>
  <c r="H378" i="6" s="1"/>
  <c r="J378" i="6" s="1" a="1"/>
  <c r="J378" i="6" s="1"/>
  <c r="G378" i="6" a="1"/>
  <c r="G378" i="6" s="1"/>
  <c r="G134" i="6" a="1"/>
  <c r="G134" i="6" s="1"/>
  <c r="H134" i="6" s="1" a="1"/>
  <c r="H134" i="6" s="1"/>
  <c r="G174" i="6" a="1"/>
  <c r="G174" i="6" s="1"/>
  <c r="H174" i="6" s="1" a="1"/>
  <c r="H174" i="6" s="1"/>
  <c r="G85" i="6" a="1"/>
  <c r="G85" i="6" s="1"/>
  <c r="H85" i="6" s="1" a="1"/>
  <c r="H85" i="6" s="1"/>
  <c r="G33" i="6" a="1"/>
  <c r="G33" i="6" s="1"/>
  <c r="H33" i="6" s="1" a="1"/>
  <c r="H33" i="6" s="1"/>
  <c r="I372" i="6"/>
  <c r="H372" i="6" a="1"/>
  <c r="H372" i="6" s="1"/>
  <c r="J372" i="6" s="1" a="1"/>
  <c r="J372" i="6" s="1"/>
  <c r="G372" i="6" a="1"/>
  <c r="G372" i="6" s="1"/>
  <c r="G502" i="6" a="1"/>
  <c r="G502" i="6" s="1"/>
  <c r="I502" i="6"/>
  <c r="H502" i="6" a="1"/>
  <c r="H502" i="6" s="1"/>
  <c r="J502" i="6" s="1" a="1"/>
  <c r="J502" i="6" s="1"/>
  <c r="H485" i="6" a="1"/>
  <c r="H485" i="6" s="1"/>
  <c r="J485" i="6" s="1" a="1"/>
  <c r="J485" i="6" s="1"/>
  <c r="G485" i="6" a="1"/>
  <c r="G485" i="6" s="1"/>
  <c r="I485" i="6"/>
  <c r="G424" i="6" a="1"/>
  <c r="G424" i="6" s="1"/>
  <c r="I424" i="6"/>
  <c r="H424" i="6" a="1"/>
  <c r="H424" i="6" s="1"/>
  <c r="J424" i="6" s="1" a="1"/>
  <c r="J424" i="6" s="1"/>
  <c r="I410" i="6"/>
  <c r="H410" i="6" a="1"/>
  <c r="H410" i="6" s="1"/>
  <c r="J410" i="6" s="1" a="1"/>
  <c r="J410" i="6" s="1"/>
  <c r="G410" i="6" a="1"/>
  <c r="G410" i="6" s="1"/>
  <c r="G278" i="6" a="1"/>
  <c r="G278" i="6" s="1"/>
  <c r="H278" i="6" s="1" a="1"/>
  <c r="H278" i="6" s="1"/>
  <c r="G151" i="6" a="1"/>
  <c r="G151" i="6" s="1"/>
  <c r="H151" i="6" s="1" a="1"/>
  <c r="H151" i="6" s="1"/>
  <c r="G72" i="6" a="1"/>
  <c r="G72" i="6" s="1"/>
  <c r="H72" i="6" s="1" a="1"/>
  <c r="H72" i="6" s="1"/>
  <c r="G205" i="6" a="1"/>
  <c r="G205" i="6" s="1"/>
  <c r="H205" i="6" s="1" a="1"/>
  <c r="H205" i="6" s="1"/>
  <c r="I511" i="6"/>
  <c r="H511" i="6" a="1"/>
  <c r="H511" i="6" s="1"/>
  <c r="J511" i="6" s="1" a="1"/>
  <c r="J511" i="6" s="1"/>
  <c r="G511" i="6" a="1"/>
  <c r="G511" i="6" s="1"/>
  <c r="I415" i="6"/>
  <c r="H415" i="6" a="1"/>
  <c r="H415" i="6" s="1"/>
  <c r="J415" i="6" s="1" a="1"/>
  <c r="J415" i="6" s="1"/>
  <c r="G415" i="6" a="1"/>
  <c r="G415" i="6" s="1"/>
  <c r="G299" i="6" a="1"/>
  <c r="G299" i="6" s="1"/>
  <c r="H299" i="6" s="1" a="1"/>
  <c r="H299" i="6" s="1"/>
  <c r="G304" i="6" a="1"/>
  <c r="G304" i="6" s="1"/>
  <c r="H304" i="6" s="1" a="1"/>
  <c r="H304" i="6" s="1"/>
  <c r="G122" i="6" a="1"/>
  <c r="G122" i="6" s="1"/>
  <c r="H122" i="6" s="1" a="1"/>
  <c r="H122" i="6" s="1"/>
  <c r="G162" i="6" a="1"/>
  <c r="G162" i="6" s="1"/>
  <c r="H162" i="6" s="1" a="1"/>
  <c r="H162" i="6" s="1"/>
  <c r="G310" i="6" a="1"/>
  <c r="G310" i="6" s="1"/>
  <c r="H310" i="6" s="1" a="1"/>
  <c r="H310" i="6" s="1"/>
  <c r="G73" i="6" a="1"/>
  <c r="G73" i="6" s="1"/>
  <c r="H73" i="6" s="1" a="1"/>
  <c r="H73" i="6" s="1"/>
  <c r="G23" i="6" a="1"/>
  <c r="G23" i="6" s="1"/>
  <c r="H23" i="6" s="1" a="1"/>
  <c r="H23" i="6" s="1"/>
  <c r="G611" i="6" a="1"/>
  <c r="G611" i="6" s="1"/>
  <c r="H611" i="6" a="1"/>
  <c r="H611" i="6" s="1"/>
  <c r="J611" i="6" s="1" a="1"/>
  <c r="J611" i="6" s="1"/>
  <c r="I611" i="6"/>
  <c r="H411" i="6" a="1"/>
  <c r="H411" i="6" s="1"/>
  <c r="J411" i="6" s="1" a="1"/>
  <c r="J411" i="6" s="1"/>
  <c r="G411" i="6" a="1"/>
  <c r="G411" i="6" s="1"/>
  <c r="I411" i="6"/>
  <c r="H368" i="6" a="1"/>
  <c r="H368" i="6" s="1"/>
  <c r="J368" i="6" s="1" a="1"/>
  <c r="J368" i="6" s="1"/>
  <c r="G368" i="6" a="1"/>
  <c r="G368" i="6" s="1"/>
  <c r="I368" i="6"/>
  <c r="G348" i="6" a="1"/>
  <c r="G348" i="6" s="1"/>
  <c r="H348" i="6" s="1" a="1"/>
  <c r="H348" i="6" s="1"/>
  <c r="G253" i="6" a="1"/>
  <c r="G253" i="6" s="1"/>
  <c r="H253" i="6" s="1" a="1"/>
  <c r="H253" i="6" s="1"/>
  <c r="G176" i="6" a="1"/>
  <c r="G176" i="6" s="1"/>
  <c r="H176" i="6" s="1" a="1"/>
  <c r="H176" i="6" s="1"/>
  <c r="G216" i="6" a="1"/>
  <c r="G216" i="6" s="1"/>
  <c r="H216" i="6" s="1" a="1"/>
  <c r="H216" i="6" s="1"/>
  <c r="G137" i="6" a="1"/>
  <c r="G137" i="6" s="1"/>
  <c r="H137" i="6" s="1" a="1"/>
  <c r="H137" i="6" s="1"/>
  <c r="I452" i="6"/>
  <c r="H452" i="6" a="1"/>
  <c r="H452" i="6" s="1"/>
  <c r="J452" i="6" s="1" a="1"/>
  <c r="J452" i="6" s="1"/>
  <c r="G452" i="6" a="1"/>
  <c r="G452" i="6" s="1"/>
  <c r="I535" i="6"/>
  <c r="H535" i="6" a="1"/>
  <c r="H535" i="6" s="1"/>
  <c r="J535" i="6" s="1" a="1"/>
  <c r="J535" i="6" s="1"/>
  <c r="G535" i="6" a="1"/>
  <c r="G535" i="6" s="1"/>
  <c r="I504" i="6"/>
  <c r="G504" i="6" a="1"/>
  <c r="G504" i="6" s="1"/>
  <c r="H504" i="6" a="1"/>
  <c r="H504" i="6" s="1"/>
  <c r="J504" i="6" s="1" a="1"/>
  <c r="J504" i="6" s="1"/>
  <c r="G244" i="6" a="1"/>
  <c r="G244" i="6" s="1"/>
  <c r="H244" i="6" s="1" a="1"/>
  <c r="H244" i="6" s="1"/>
  <c r="G204" i="6" a="1"/>
  <c r="G204" i="6" s="1"/>
  <c r="H204" i="6" s="1" a="1"/>
  <c r="H204" i="6" s="1"/>
  <c r="H393" i="6" a="1"/>
  <c r="H393" i="6" s="1"/>
  <c r="J393" i="6" s="1" a="1"/>
  <c r="J393" i="6" s="1"/>
  <c r="G393" i="6" a="1"/>
  <c r="G393" i="6" s="1"/>
  <c r="I393" i="6"/>
  <c r="G61" i="6" a="1"/>
  <c r="G61" i="6" s="1"/>
  <c r="H61" i="6" s="1" a="1"/>
  <c r="H61" i="6" s="1"/>
  <c r="G22" i="6" a="1"/>
  <c r="G22" i="6" s="1"/>
  <c r="H22" i="6" s="1" a="1"/>
  <c r="H22" i="6" s="1"/>
  <c r="I454" i="6"/>
  <c r="G454" i="6" a="1"/>
  <c r="G454" i="6" s="1"/>
  <c r="H454" i="6" a="1"/>
  <c r="H454" i="6" s="1"/>
  <c r="J454" i="6" s="1" a="1"/>
  <c r="J454" i="6" s="1"/>
  <c r="G180" i="6" a="1"/>
  <c r="G180" i="6" s="1"/>
  <c r="H180" i="6" s="1" a="1"/>
  <c r="H180" i="6" s="1"/>
  <c r="G223" i="6" a="1"/>
  <c r="G223" i="6" s="1"/>
  <c r="H223" i="6" s="1" a="1"/>
  <c r="H223" i="6" s="1"/>
  <c r="G104" i="6" a="1"/>
  <c r="G104" i="6" s="1"/>
  <c r="H104" i="6" s="1" a="1"/>
  <c r="H104" i="6" s="1"/>
  <c r="G219" i="6" a="1"/>
  <c r="G219" i="6" s="1"/>
  <c r="H219" i="6" s="1" a="1"/>
  <c r="H219" i="6" s="1"/>
  <c r="I443" i="6"/>
  <c r="H443" i="6" a="1"/>
  <c r="H443" i="6" s="1"/>
  <c r="J443" i="6" s="1" a="1"/>
  <c r="J443" i="6" s="1"/>
  <c r="G443" i="6" a="1"/>
  <c r="G443" i="6" s="1"/>
  <c r="G105" i="6" a="1"/>
  <c r="G105" i="6" s="1"/>
  <c r="H105" i="6" s="1" a="1"/>
  <c r="H105" i="6" s="1"/>
  <c r="G580" i="6" a="1"/>
  <c r="G580" i="6" s="1"/>
  <c r="I580" i="6"/>
  <c r="H580" i="6" a="1"/>
  <c r="H580" i="6" s="1"/>
  <c r="J580" i="6" s="1" a="1"/>
  <c r="J580" i="6" s="1"/>
  <c r="G341" i="6" a="1"/>
  <c r="G341" i="6" s="1"/>
  <c r="H341" i="6" s="1" a="1"/>
  <c r="H341" i="6" s="1"/>
  <c r="G363" i="6" a="1"/>
  <c r="G363" i="6" s="1"/>
  <c r="H363" i="6" s="1" a="1"/>
  <c r="H363" i="6" s="1"/>
  <c r="G248" i="6" a="1"/>
  <c r="G248" i="6" s="1"/>
  <c r="H248" i="6" s="1" a="1"/>
  <c r="H248" i="6" s="1"/>
  <c r="G321" i="6" a="1"/>
  <c r="G321" i="6" s="1"/>
  <c r="H321" i="6" s="1" a="1"/>
  <c r="H321" i="6" s="1"/>
  <c r="G603" i="6" a="1"/>
  <c r="G603" i="6" s="1"/>
  <c r="I603" i="6"/>
  <c r="H603" i="6" a="1"/>
  <c r="H603" i="6" s="1"/>
  <c r="J603" i="6" s="1" a="1"/>
  <c r="J603" i="6" s="1"/>
  <c r="I524" i="6"/>
  <c r="H524" i="6" a="1"/>
  <c r="H524" i="6" s="1"/>
  <c r="J524" i="6" s="1" a="1"/>
  <c r="J524" i="6" s="1"/>
  <c r="G524" i="6" a="1"/>
  <c r="G524" i="6" s="1"/>
  <c r="G337" i="6" a="1"/>
  <c r="G337" i="6" s="1"/>
  <c r="H337" i="6" s="1" a="1"/>
  <c r="H337" i="6" s="1"/>
  <c r="I530" i="6"/>
  <c r="H530" i="6" a="1"/>
  <c r="H530" i="6" s="1"/>
  <c r="J530" i="6" s="1" a="1"/>
  <c r="J530" i="6" s="1"/>
  <c r="G530" i="6" a="1"/>
  <c r="G530" i="6" s="1"/>
  <c r="I395" i="6"/>
  <c r="H395" i="6" a="1"/>
  <c r="H395" i="6" s="1"/>
  <c r="J395" i="6" s="1" a="1"/>
  <c r="J395" i="6" s="1"/>
  <c r="G395" i="6" a="1"/>
  <c r="G395" i="6" s="1"/>
  <c r="G364" i="6" a="1"/>
  <c r="G364" i="6" s="1"/>
  <c r="H364" i="6" s="1" a="1"/>
  <c r="H364" i="6" s="1"/>
  <c r="G325" i="6" a="1"/>
  <c r="G325" i="6" s="1"/>
  <c r="H325" i="6" s="1" a="1"/>
  <c r="H325" i="6" s="1"/>
  <c r="G147" i="6" a="1"/>
  <c r="G147" i="6" s="1"/>
  <c r="H147" i="6" s="1" a="1"/>
  <c r="H147" i="6" s="1"/>
  <c r="G57" i="6" a="1"/>
  <c r="G57" i="6" s="1"/>
  <c r="H57" i="6" s="1" a="1"/>
  <c r="H57" i="6" s="1"/>
  <c r="G358" i="6" a="1"/>
  <c r="G358" i="6" s="1"/>
  <c r="H358" i="6" s="1" a="1"/>
  <c r="H358" i="6" s="1"/>
  <c r="G319" i="6" a="1"/>
  <c r="G319" i="6" s="1"/>
  <c r="H319" i="6" s="1" a="1"/>
  <c r="H319" i="6" s="1"/>
  <c r="G141" i="6" a="1"/>
  <c r="G141" i="6" s="1"/>
  <c r="H141" i="6" s="1" a="1"/>
  <c r="H141" i="6" s="1"/>
  <c r="G166" i="6" a="1"/>
  <c r="G166" i="6" s="1"/>
  <c r="H166" i="6" s="1" a="1"/>
  <c r="H166" i="6" s="1"/>
  <c r="G51" i="6" a="1"/>
  <c r="G51" i="6" s="1"/>
  <c r="H51" i="6" s="1" a="1"/>
  <c r="H51" i="6" s="1"/>
  <c r="I503" i="6"/>
  <c r="H503" i="6" a="1"/>
  <c r="H503" i="6" s="1"/>
  <c r="J503" i="6" s="1" a="1"/>
  <c r="J503" i="6" s="1"/>
  <c r="G503" i="6" a="1"/>
  <c r="G503" i="6" s="1"/>
  <c r="G207" i="6" a="1"/>
  <c r="G207" i="6" s="1"/>
  <c r="H207" i="6" s="1" a="1"/>
  <c r="H207" i="6" s="1"/>
  <c r="H568" i="6" a="1"/>
  <c r="H568" i="6" s="1"/>
  <c r="J568" i="6" s="1" a="1"/>
  <c r="J568" i="6" s="1"/>
  <c r="I568" i="6"/>
  <c r="G568" i="6" a="1"/>
  <c r="G568" i="6" s="1"/>
  <c r="G201" i="6" a="1"/>
  <c r="G201" i="6" s="1"/>
  <c r="H201" i="6" s="1" a="1"/>
  <c r="H201" i="6" s="1"/>
  <c r="G340" i="6" a="1"/>
  <c r="G340" i="6" s="1"/>
  <c r="H340" i="6" s="1" a="1"/>
  <c r="H340" i="6" s="1"/>
  <c r="G301" i="6" a="1"/>
  <c r="G301" i="6" s="1"/>
  <c r="H301" i="6" s="1" a="1"/>
  <c r="H301" i="6" s="1"/>
  <c r="G123" i="6" a="1"/>
  <c r="G123" i="6" s="1"/>
  <c r="H123" i="6" s="1" a="1"/>
  <c r="H123" i="6" s="1"/>
  <c r="G34" i="6" a="1"/>
  <c r="G34" i="6" s="1"/>
  <c r="H34" i="6" s="1" a="1"/>
  <c r="H34" i="6" s="1"/>
  <c r="G75" i="6" a="1"/>
  <c r="G75" i="6" s="1"/>
  <c r="H75" i="6" s="1" a="1"/>
  <c r="H75" i="6" s="1"/>
  <c r="H556" i="6" a="1"/>
  <c r="H556" i="6" s="1"/>
  <c r="J556" i="6" s="1" a="1"/>
  <c r="J556" i="6" s="1"/>
  <c r="G556" i="6" a="1"/>
  <c r="G556" i="6" s="1"/>
  <c r="I556" i="6"/>
  <c r="I437" i="6"/>
  <c r="H437" i="6" a="1"/>
  <c r="H437" i="6" s="1"/>
  <c r="J437" i="6" s="1" a="1"/>
  <c r="J437" i="6" s="1"/>
  <c r="G437" i="6" a="1"/>
  <c r="G437" i="6" s="1"/>
  <c r="G189" i="6" a="1"/>
  <c r="G189" i="6" s="1"/>
  <c r="H189" i="6" s="1" a="1"/>
  <c r="H189" i="6" s="1"/>
  <c r="G99" i="6" a="1"/>
  <c r="G99" i="6" s="1"/>
  <c r="H99" i="6" s="1" a="1"/>
  <c r="H99" i="6" s="1"/>
  <c r="G8" i="6" a="1"/>
  <c r="G8" i="6" s="1"/>
  <c r="H8" i="6" s="1" a="1"/>
  <c r="H8" i="6" s="1"/>
  <c r="I497" i="6"/>
  <c r="H497" i="6" a="1"/>
  <c r="H497" i="6" s="1"/>
  <c r="J497" i="6" s="1" a="1"/>
  <c r="J497" i="6" s="1"/>
  <c r="G497" i="6" a="1"/>
  <c r="G497" i="6" s="1"/>
  <c r="G165" i="6" a="1"/>
  <c r="G165" i="6" s="1"/>
  <c r="H165" i="6" s="1" a="1"/>
  <c r="H165" i="6" s="1"/>
  <c r="I493" i="6"/>
  <c r="H493" i="6" a="1"/>
  <c r="H493" i="6" s="1"/>
  <c r="J493" i="6" s="1" a="1"/>
  <c r="J493" i="6" s="1"/>
  <c r="G493" i="6" a="1"/>
  <c r="G493" i="6" s="1"/>
  <c r="G10" i="6" a="1"/>
  <c r="G10" i="6" s="1"/>
  <c r="H10" i="6" s="1" a="1"/>
  <c r="H10" i="6" s="1"/>
  <c r="H544" i="6" a="1"/>
  <c r="H544" i="6" s="1"/>
  <c r="J544" i="6" s="1" a="1"/>
  <c r="J544" i="6" s="1"/>
  <c r="G544" i="6" a="1"/>
  <c r="G544" i="6" s="1"/>
  <c r="I544" i="6"/>
  <c r="H509" i="6" a="1"/>
  <c r="H509" i="6" s="1"/>
  <c r="J509" i="6" s="1" a="1"/>
  <c r="J509" i="6" s="1"/>
  <c r="G509" i="6" a="1"/>
  <c r="G509" i="6" s="1"/>
  <c r="I509" i="6"/>
  <c r="I425" i="6"/>
  <c r="H425" i="6" a="1"/>
  <c r="H425" i="6" s="1"/>
  <c r="J425" i="6" s="1" a="1"/>
  <c r="J425" i="6" s="1"/>
  <c r="G425" i="6" a="1"/>
  <c r="G425" i="6" s="1"/>
  <c r="G177" i="6" a="1"/>
  <c r="G177" i="6" s="1"/>
  <c r="H177" i="6" s="1" a="1"/>
  <c r="H177" i="6" s="1"/>
  <c r="G87" i="6" a="1"/>
  <c r="G87" i="6" s="1"/>
  <c r="H87" i="6" s="1" a="1"/>
  <c r="H87" i="6" s="1"/>
  <c r="G594" i="6" a="1"/>
  <c r="G594" i="6" s="1"/>
  <c r="I594" i="6"/>
  <c r="H594" i="6" a="1"/>
  <c r="H594" i="6" s="1"/>
  <c r="J594" i="6" s="1" a="1"/>
  <c r="J594" i="6" s="1"/>
  <c r="I481" i="6"/>
  <c r="H481" i="6" a="1"/>
  <c r="H481" i="6" s="1"/>
  <c r="J481" i="6" s="1" a="1"/>
  <c r="J481" i="6" s="1"/>
  <c r="G481" i="6" a="1"/>
  <c r="G481" i="6" s="1"/>
  <c r="G273" i="6" a="1"/>
  <c r="G273" i="6" s="1"/>
  <c r="H273" i="6" s="1" a="1"/>
  <c r="H273" i="6" s="1"/>
  <c r="G82" i="6" a="1"/>
  <c r="G82" i="6" s="1"/>
  <c r="H82" i="6" s="1" a="1"/>
  <c r="H82" i="6" s="1"/>
  <c r="H399" i="6" a="1"/>
  <c r="H399" i="6" s="1"/>
  <c r="J399" i="6" s="1" a="1"/>
  <c r="J399" i="6" s="1"/>
  <c r="G399" i="6" a="1"/>
  <c r="G399" i="6" s="1"/>
  <c r="I399" i="6"/>
  <c r="G158" i="6" a="1"/>
  <c r="G158" i="6" s="1"/>
  <c r="H158" i="6" s="1" a="1"/>
  <c r="H158" i="6" s="1"/>
  <c r="G375" i="6" a="1"/>
  <c r="G375" i="6" s="1"/>
  <c r="I375" i="6"/>
  <c r="H375" i="6" a="1"/>
  <c r="H375" i="6" s="1"/>
  <c r="J375" i="6" s="1" a="1"/>
  <c r="J375" i="6" s="1"/>
  <c r="G270" i="6" a="1"/>
  <c r="G270" i="6" s="1"/>
  <c r="H270" i="6" s="1" a="1"/>
  <c r="H270" i="6" s="1"/>
  <c r="G74" i="6" a="1"/>
  <c r="G74" i="6" s="1"/>
  <c r="H74" i="6" s="1" a="1"/>
  <c r="H74" i="6" s="1"/>
  <c r="G317" i="6" a="1"/>
  <c r="G317" i="6" s="1"/>
  <c r="H317" i="6" s="1" a="1"/>
  <c r="H317" i="6" s="1"/>
  <c r="G258" i="6" a="1"/>
  <c r="G258" i="6" s="1"/>
  <c r="H258" i="6" s="1" a="1"/>
  <c r="H258" i="6" s="1"/>
  <c r="G206" i="6" a="1"/>
  <c r="G206" i="6" s="1"/>
  <c r="H206" i="6" s="1" a="1"/>
  <c r="H206" i="6" s="1"/>
  <c r="G539" i="6" a="1"/>
  <c r="G539" i="6" s="1"/>
  <c r="I539" i="6"/>
  <c r="H539" i="6" a="1"/>
  <c r="H539" i="6" s="1"/>
  <c r="J539" i="6" s="1" a="1"/>
  <c r="J539" i="6" s="1"/>
  <c r="G355" i="6" a="1"/>
  <c r="G355" i="6" s="1"/>
  <c r="H355" i="6" s="1" a="1"/>
  <c r="H355" i="6" s="1"/>
  <c r="H562" i="6" a="1"/>
  <c r="H562" i="6" s="1"/>
  <c r="J562" i="6" s="1" a="1"/>
  <c r="J562" i="6" s="1"/>
  <c r="G562" i="6" a="1"/>
  <c r="G562" i="6" s="1"/>
  <c r="I562" i="6"/>
  <c r="G13" i="6" a="1"/>
  <c r="G13" i="6" s="1"/>
  <c r="H13" i="6" s="1" a="1"/>
  <c r="H13" i="6" s="1"/>
  <c r="J45" i="6" a="1"/>
  <c r="J45" i="6" s="1"/>
  <c r="K45" i="6" a="1"/>
  <c r="K45" i="6" s="1"/>
  <c r="G20" i="6" a="1"/>
  <c r="G20" i="6" s="1"/>
  <c r="H20" i="6" s="1" a="1"/>
  <c r="H20" i="6" s="1"/>
  <c r="G314" i="6" a="1"/>
  <c r="G314" i="6" s="1"/>
  <c r="H314" i="6" s="1" a="1"/>
  <c r="H314" i="6" s="1"/>
  <c r="I576" i="6"/>
  <c r="H576" i="6" a="1"/>
  <c r="H576" i="6" s="1"/>
  <c r="J576" i="6" s="1" a="1"/>
  <c r="J576" i="6" s="1"/>
  <c r="G576" i="6" a="1"/>
  <c r="G576" i="6" s="1"/>
  <c r="I464" i="6"/>
  <c r="H464" i="6" a="1"/>
  <c r="H464" i="6" s="1"/>
  <c r="J464" i="6" s="1" a="1"/>
  <c r="J464" i="6" s="1"/>
  <c r="G464" i="6" a="1"/>
  <c r="G464" i="6" s="1"/>
  <c r="G58" i="6" a="1"/>
  <c r="G58" i="6" s="1"/>
  <c r="H58" i="6" s="1" a="1"/>
  <c r="H58" i="6" s="1"/>
  <c r="G249" i="6" a="1"/>
  <c r="G249" i="6" s="1"/>
  <c r="H249" i="6" s="1" a="1"/>
  <c r="H249" i="6" s="1"/>
  <c r="G172" i="6" a="1"/>
  <c r="G172" i="6" s="1"/>
  <c r="H172" i="6" s="1" a="1"/>
  <c r="H172" i="6" s="1"/>
  <c r="G108" i="6" a="1"/>
  <c r="G108" i="6" s="1"/>
  <c r="H108" i="6" s="1" a="1"/>
  <c r="H108" i="6" s="1"/>
  <c r="G196" i="6" a="1"/>
  <c r="G196" i="6" s="1"/>
  <c r="H196" i="6" s="1" a="1"/>
  <c r="H196" i="6" s="1"/>
  <c r="G243" i="6" a="1"/>
  <c r="G243" i="6" s="1"/>
  <c r="H243" i="6" s="1" a="1"/>
  <c r="H243" i="6" s="1"/>
  <c r="I595" i="6"/>
  <c r="G595" i="6" a="1"/>
  <c r="G595" i="6" s="1"/>
  <c r="H595" i="6" a="1"/>
  <c r="H595" i="6" s="1"/>
  <c r="J595" i="6" s="1" a="1"/>
  <c r="J595" i="6" s="1"/>
  <c r="H604" i="6" a="1"/>
  <c r="H604" i="6" s="1"/>
  <c r="J604" i="6" s="1" a="1"/>
  <c r="J604" i="6" s="1"/>
  <c r="G604" i="6" a="1"/>
  <c r="G604" i="6" s="1"/>
  <c r="I604" i="6"/>
  <c r="G302" i="6" a="1"/>
  <c r="G302" i="6" s="1"/>
  <c r="H302" i="6" s="1" a="1"/>
  <c r="H302" i="6" s="1"/>
  <c r="G268" i="6" a="1"/>
  <c r="G268" i="6" s="1"/>
  <c r="H268" i="6" s="1" a="1"/>
  <c r="H268" i="6" s="1"/>
  <c r="G118" i="6" a="1"/>
  <c r="G118" i="6" s="1"/>
  <c r="H118" i="6" s="1" a="1"/>
  <c r="H118" i="6" s="1"/>
  <c r="H572" i="6" a="1"/>
  <c r="H572" i="6" s="1"/>
  <c r="J572" i="6" s="1" a="1"/>
  <c r="J572" i="6" s="1"/>
  <c r="I572" i="6"/>
  <c r="G572" i="6" a="1"/>
  <c r="G572" i="6" s="1"/>
  <c r="H449" i="6" a="1"/>
  <c r="H449" i="6" s="1"/>
  <c r="J449" i="6" s="1" a="1"/>
  <c r="J449" i="6" s="1"/>
  <c r="I449" i="6"/>
  <c r="G449" i="6" a="1"/>
  <c r="G449" i="6" s="1"/>
  <c r="G296" i="6" a="1"/>
  <c r="G296" i="6" s="1"/>
  <c r="H296" i="6" s="1" a="1"/>
  <c r="H296" i="6" s="1"/>
  <c r="G250" i="6" a="1"/>
  <c r="G250" i="6" s="1"/>
  <c r="H250" i="6" s="1" a="1"/>
  <c r="H250" i="6" s="1"/>
  <c r="G226" i="6" a="1"/>
  <c r="G226" i="6" s="1"/>
  <c r="H226" i="6" s="1" a="1"/>
  <c r="H226" i="6" s="1"/>
  <c r="I500" i="6"/>
  <c r="H500" i="6" a="1"/>
  <c r="H500" i="6" s="1"/>
  <c r="J500" i="6" s="1" a="1"/>
  <c r="J500" i="6" s="1"/>
  <c r="G500" i="6" a="1"/>
  <c r="G500" i="6" s="1"/>
  <c r="G148" i="6" a="1"/>
  <c r="G148" i="6" s="1"/>
  <c r="H148" i="6" s="1" a="1"/>
  <c r="H148" i="6" s="1"/>
  <c r="I510" i="6"/>
  <c r="H510" i="6" a="1"/>
  <c r="H510" i="6" s="1"/>
  <c r="J510" i="6" s="1" a="1"/>
  <c r="J510" i="6" s="1"/>
  <c r="G510" i="6" a="1"/>
  <c r="G510" i="6" s="1"/>
  <c r="I600" i="6"/>
  <c r="H600" i="6" a="1"/>
  <c r="H600" i="6" s="1"/>
  <c r="J600" i="6" s="1" a="1"/>
  <c r="J600" i="6" s="1"/>
  <c r="G600" i="6" a="1"/>
  <c r="G600" i="6" s="1"/>
  <c r="G332" i="6" a="1"/>
  <c r="G332" i="6" s="1"/>
  <c r="H332" i="6" s="1" a="1"/>
  <c r="H332" i="6" s="1"/>
  <c r="G284" i="6" a="1"/>
  <c r="G284" i="6" s="1"/>
  <c r="H284" i="6" s="1" a="1"/>
  <c r="H284" i="6" s="1"/>
  <c r="G214" i="6" a="1"/>
  <c r="G214" i="6" s="1"/>
  <c r="H214" i="6" s="1" a="1"/>
  <c r="H214" i="6" s="1"/>
  <c r="I494" i="6"/>
  <c r="H494" i="6" a="1"/>
  <c r="H494" i="6" s="1"/>
  <c r="J494" i="6" s="1" a="1"/>
  <c r="J494" i="6" s="1"/>
  <c r="G494" i="6" a="1"/>
  <c r="G494" i="6" s="1"/>
  <c r="G88" i="6" a="1"/>
  <c r="G88" i="6" s="1"/>
  <c r="H88" i="6" s="1" a="1"/>
  <c r="H88" i="6" s="1"/>
  <c r="G279" i="6" a="1"/>
  <c r="G279" i="6" s="1"/>
  <c r="H279" i="6" s="1" a="1"/>
  <c r="H279" i="6" s="1"/>
  <c r="G202" i="6" a="1"/>
  <c r="G202" i="6" s="1"/>
  <c r="H202" i="6" s="1" a="1"/>
  <c r="H202" i="6" s="1"/>
  <c r="I498" i="6"/>
  <c r="H498" i="6" a="1"/>
  <c r="H498" i="6" s="1"/>
  <c r="J498" i="6" s="1" a="1"/>
  <c r="J498" i="6" s="1"/>
  <c r="G498" i="6" a="1"/>
  <c r="G498" i="6" s="1"/>
  <c r="I402" i="6"/>
  <c r="H402" i="6" a="1"/>
  <c r="H402" i="6" s="1"/>
  <c r="J402" i="6" s="1" a="1"/>
  <c r="J402" i="6" s="1"/>
  <c r="G402" i="6" a="1"/>
  <c r="G402" i="6" s="1"/>
  <c r="G359" i="6" a="1"/>
  <c r="G359" i="6" s="1"/>
  <c r="H359" i="6" s="1" a="1"/>
  <c r="H359" i="6" s="1"/>
  <c r="G326" i="6" a="1"/>
  <c r="G326" i="6" s="1"/>
  <c r="H326" i="6" s="1" a="1"/>
  <c r="H326" i="6" s="1"/>
  <c r="G256" i="6" a="1"/>
  <c r="G256" i="6" s="1"/>
  <c r="H256" i="6" s="1" a="1"/>
  <c r="H256" i="6" s="1"/>
  <c r="G280" i="6" a="1"/>
  <c r="G280" i="6" s="1"/>
  <c r="H280" i="6" s="1" a="1"/>
  <c r="H280" i="6" s="1"/>
  <c r="I458" i="6"/>
  <c r="H458" i="6" a="1"/>
  <c r="H458" i="6" s="1"/>
  <c r="J458" i="6" s="1" a="1"/>
  <c r="J458" i="6" s="1"/>
  <c r="G458" i="6" a="1"/>
  <c r="G458" i="6" s="1"/>
  <c r="I438" i="6"/>
  <c r="H438" i="6" a="1"/>
  <c r="H438" i="6" s="1"/>
  <c r="J438" i="6" s="1" a="1"/>
  <c r="J438" i="6" s="1"/>
  <c r="G438" i="6" a="1"/>
  <c r="G438" i="6" s="1"/>
  <c r="G94" i="6" a="1"/>
  <c r="G94" i="6" s="1"/>
  <c r="H94" i="6" s="1" a="1"/>
  <c r="H94" i="6" s="1"/>
  <c r="I414" i="6"/>
  <c r="H414" i="6" a="1"/>
  <c r="H414" i="6" s="1"/>
  <c r="J414" i="6" s="1" a="1"/>
  <c r="J414" i="6" s="1"/>
  <c r="G414" i="6" a="1"/>
  <c r="G414" i="6" s="1"/>
  <c r="G131" i="6" a="1"/>
  <c r="G131" i="6" s="1"/>
  <c r="H131" i="6" s="1" a="1"/>
  <c r="H131" i="6" s="1"/>
  <c r="G350" i="6" a="1"/>
  <c r="G350" i="6" s="1"/>
  <c r="H350" i="6" s="1" a="1"/>
  <c r="H350" i="6" s="1"/>
  <c r="G114" i="6" a="1"/>
  <c r="G114" i="6" s="1"/>
  <c r="H114" i="6" s="1" a="1"/>
  <c r="H114" i="6" s="1"/>
  <c r="G339" i="6" a="1"/>
  <c r="G339" i="6" s="1"/>
  <c r="H339" i="6" s="1" a="1"/>
  <c r="H339" i="6" s="1"/>
  <c r="G297" i="6" a="1"/>
  <c r="G297" i="6" s="1"/>
  <c r="H297" i="6" s="1" a="1"/>
  <c r="H297" i="6" s="1"/>
  <c r="G194" i="6" a="1"/>
  <c r="G194" i="6" s="1"/>
  <c r="H194" i="6" s="1" a="1"/>
  <c r="H194" i="6" s="1"/>
  <c r="G127" i="6" a="1"/>
  <c r="G127" i="6" s="1"/>
  <c r="H127" i="6" s="1" a="1"/>
  <c r="H127" i="6" s="1"/>
  <c r="I469" i="6"/>
  <c r="H469" i="6" a="1"/>
  <c r="H469" i="6" s="1"/>
  <c r="J469" i="6" s="1" a="1"/>
  <c r="J469" i="6" s="1"/>
  <c r="G469" i="6" a="1"/>
  <c r="G469" i="6" s="1"/>
  <c r="I451" i="6"/>
  <c r="H451" i="6" a="1"/>
  <c r="H451" i="6" s="1"/>
  <c r="J451" i="6" s="1" a="1"/>
  <c r="J451" i="6" s="1"/>
  <c r="G451" i="6" a="1"/>
  <c r="G451" i="6" s="1"/>
  <c r="I413" i="6"/>
  <c r="H413" i="6" a="1"/>
  <c r="H413" i="6" s="1"/>
  <c r="J413" i="6" s="1" a="1"/>
  <c r="J413" i="6" s="1"/>
  <c r="G413" i="6" a="1"/>
  <c r="G413" i="6" s="1"/>
  <c r="H559" i="6" a="1"/>
  <c r="H559" i="6" s="1"/>
  <c r="J559" i="6" s="1" a="1"/>
  <c r="J559" i="6" s="1"/>
  <c r="I559" i="6"/>
  <c r="G559" i="6" a="1"/>
  <c r="G559" i="6" s="1"/>
  <c r="G394" i="6" a="1"/>
  <c r="G394" i="6" s="1"/>
  <c r="I394" i="6"/>
  <c r="H394" i="6" a="1"/>
  <c r="H394" i="6" s="1"/>
  <c r="J394" i="6" s="1" a="1"/>
  <c r="J394" i="6" s="1"/>
  <c r="G605" i="6" a="1"/>
  <c r="G605" i="6" s="1"/>
  <c r="H605" i="6" a="1"/>
  <c r="H605" i="6" s="1"/>
  <c r="J605" i="6" s="1" a="1"/>
  <c r="J605" i="6" s="1"/>
  <c r="I605" i="6"/>
  <c r="H405" i="6" a="1"/>
  <c r="H405" i="6" s="1"/>
  <c r="J405" i="6" s="1" a="1"/>
  <c r="J405" i="6" s="1"/>
  <c r="G405" i="6" a="1"/>
  <c r="G405" i="6" s="1"/>
  <c r="I405" i="6"/>
  <c r="G362" i="6" a="1"/>
  <c r="G362" i="6" s="1"/>
  <c r="H362" i="6" s="1" a="1"/>
  <c r="H362" i="6" s="1"/>
  <c r="G247" i="6" a="1"/>
  <c r="G247" i="6" s="1"/>
  <c r="H247" i="6" s="1" a="1"/>
  <c r="H247" i="6" s="1"/>
  <c r="G170" i="6" a="1"/>
  <c r="G170" i="6" s="1"/>
  <c r="H170" i="6" s="1" a="1"/>
  <c r="H170" i="6" s="1"/>
  <c r="G210" i="6" a="1"/>
  <c r="G210" i="6" s="1"/>
  <c r="H210" i="6" s="1" a="1"/>
  <c r="H210" i="6" s="1"/>
  <c r="G246" i="6" a="1"/>
  <c r="G246" i="6" s="1"/>
  <c r="H246" i="6" s="1" a="1"/>
  <c r="H246" i="6" s="1"/>
  <c r="G89" i="6" a="1"/>
  <c r="G89" i="6" s="1"/>
  <c r="H89" i="6" s="1" a="1"/>
  <c r="H89" i="6" s="1"/>
  <c r="H584" i="6" a="1"/>
  <c r="H584" i="6" s="1"/>
  <c r="J584" i="6" s="1" a="1"/>
  <c r="J584" i="6" s="1"/>
  <c r="I584" i="6"/>
  <c r="G584" i="6" a="1"/>
  <c r="G584" i="6" s="1"/>
  <c r="G542" i="6" a="1"/>
  <c r="G542" i="6" s="1"/>
  <c r="H542" i="6" a="1"/>
  <c r="H542" i="6" s="1"/>
  <c r="J542" i="6" s="1" a="1"/>
  <c r="J542" i="6" s="1"/>
  <c r="I542" i="6"/>
  <c r="G187" i="6" a="1"/>
  <c r="G187" i="6" s="1"/>
  <c r="H187" i="6" s="1" a="1"/>
  <c r="H187" i="6" s="1"/>
  <c r="H423" i="6" a="1"/>
  <c r="H423" i="6" s="1"/>
  <c r="J423" i="6" s="1" a="1"/>
  <c r="J423" i="6" s="1"/>
  <c r="G423" i="6" a="1"/>
  <c r="G423" i="6" s="1"/>
  <c r="I423" i="6"/>
  <c r="G222" i="6" a="1"/>
  <c r="G222" i="6" s="1"/>
  <c r="H222" i="6" s="1" a="1"/>
  <c r="H222" i="6" s="1"/>
  <c r="I583" i="6"/>
  <c r="H583" i="6" a="1"/>
  <c r="H583" i="6" s="1"/>
  <c r="J583" i="6" s="1" a="1"/>
  <c r="J583" i="6" s="1"/>
  <c r="G583" i="6" a="1"/>
  <c r="G583" i="6" s="1"/>
  <c r="G532" i="6" a="1"/>
  <c r="G532" i="6" s="1"/>
  <c r="I532" i="6"/>
  <c r="H532" i="6" a="1"/>
  <c r="H532" i="6" s="1"/>
  <c r="J532" i="6" s="1" a="1"/>
  <c r="J532" i="6" s="1"/>
  <c r="H507" i="6" a="1"/>
  <c r="H507" i="6" s="1"/>
  <c r="J507" i="6" s="1" a="1"/>
  <c r="J507" i="6" s="1"/>
  <c r="G507" i="6" a="1"/>
  <c r="G507" i="6" s="1"/>
  <c r="I507" i="6"/>
  <c r="H495" i="6" a="1"/>
  <c r="H495" i="6" s="1"/>
  <c r="J495" i="6" s="1" a="1"/>
  <c r="J495" i="6" s="1"/>
  <c r="G495" i="6" a="1"/>
  <c r="G495" i="6" s="1"/>
  <c r="I495" i="6"/>
  <c r="G181" i="6" a="1"/>
  <c r="G181" i="6" s="1"/>
  <c r="H181" i="6" s="1" a="1"/>
  <c r="H181" i="6" s="1"/>
  <c r="G102" i="6" a="1"/>
  <c r="G102" i="6" s="1"/>
  <c r="H102" i="6" s="1" a="1"/>
  <c r="H102" i="6" s="1"/>
  <c r="G412" i="6" a="1"/>
  <c r="G412" i="6" s="1"/>
  <c r="I412" i="6"/>
  <c r="H412" i="6" a="1"/>
  <c r="H412" i="6" s="1"/>
  <c r="J412" i="6" s="1" a="1"/>
  <c r="J412" i="6" s="1"/>
  <c r="G156" i="6" a="1"/>
  <c r="G156" i="6" s="1"/>
  <c r="H156" i="6" s="1" a="1"/>
  <c r="H156" i="6" s="1"/>
  <c r="G110" i="6" a="1"/>
  <c r="G110" i="6" s="1"/>
  <c r="H110" i="6" s="1" a="1"/>
  <c r="H110" i="6" s="1"/>
  <c r="G566" i="6" a="1"/>
  <c r="G566" i="6" s="1"/>
  <c r="H566" i="6" a="1"/>
  <c r="H566" i="6" s="1"/>
  <c r="J566" i="6" s="1" a="1"/>
  <c r="J566" i="6" s="1"/>
  <c r="I566" i="6"/>
  <c r="I499" i="6"/>
  <c r="H499" i="6" a="1"/>
  <c r="H499" i="6" s="1"/>
  <c r="J499" i="6" s="1" a="1"/>
  <c r="J499" i="6" s="1"/>
  <c r="G499" i="6" a="1"/>
  <c r="G499" i="6" s="1"/>
  <c r="I466" i="6"/>
  <c r="G466" i="6" a="1"/>
  <c r="G466" i="6" s="1"/>
  <c r="H466" i="6" a="1"/>
  <c r="H466" i="6" s="1"/>
  <c r="J466" i="6" s="1" a="1"/>
  <c r="J466" i="6" s="1"/>
  <c r="I483" i="6"/>
  <c r="H483" i="6" a="1"/>
  <c r="H483" i="6" s="1"/>
  <c r="J483" i="6" s="1" a="1"/>
  <c r="J483" i="6" s="1"/>
  <c r="G483" i="6" a="1"/>
  <c r="G483" i="6" s="1"/>
  <c r="G360" i="6" a="1"/>
  <c r="G360" i="6" s="1"/>
  <c r="H360" i="6" s="1" a="1"/>
  <c r="H360" i="6" s="1"/>
  <c r="G251" i="6" a="1"/>
  <c r="G251" i="6" s="1"/>
  <c r="H251" i="6" s="1" a="1"/>
  <c r="H251" i="6" s="1"/>
  <c r="G155" i="6" a="1"/>
  <c r="G155" i="6" s="1"/>
  <c r="H155" i="6" s="1" a="1"/>
  <c r="H155" i="6" s="1"/>
  <c r="G32" i="6" a="1"/>
  <c r="G32" i="6" s="1"/>
  <c r="H32" i="6" s="1" a="1"/>
  <c r="H32" i="6" s="1"/>
  <c r="G21" i="6" a="1"/>
  <c r="G21" i="6" s="1"/>
  <c r="H21" i="6" s="1" a="1"/>
  <c r="H21" i="6" s="1"/>
  <c r="I422" i="6"/>
  <c r="H422" i="6" a="1"/>
  <c r="H422" i="6" s="1"/>
  <c r="J422" i="6" s="1" a="1"/>
  <c r="J422" i="6" s="1"/>
  <c r="G422" i="6" a="1"/>
  <c r="G422" i="6" s="1"/>
  <c r="G185" i="6" a="1"/>
  <c r="G185" i="6" s="1"/>
  <c r="H185" i="6" s="1" a="1"/>
  <c r="H185" i="6" s="1"/>
  <c r="H467" i="6" a="1"/>
  <c r="H467" i="6" s="1"/>
  <c r="J467" i="6" s="1" a="1"/>
  <c r="J467" i="6" s="1"/>
  <c r="G467" i="6" a="1"/>
  <c r="G467" i="6" s="1"/>
  <c r="I467" i="6"/>
  <c r="I533" i="6"/>
  <c r="H533" i="6" a="1"/>
  <c r="H533" i="6" s="1"/>
  <c r="J533" i="6" s="1" a="1"/>
  <c r="J533" i="6" s="1"/>
  <c r="G533" i="6" a="1"/>
  <c r="G533" i="6" s="1"/>
  <c r="I428" i="6"/>
  <c r="H428" i="6" a="1"/>
  <c r="H428" i="6" s="1"/>
  <c r="J428" i="6" s="1" a="1"/>
  <c r="J428" i="6" s="1"/>
  <c r="G428" i="6" a="1"/>
  <c r="G428" i="6" s="1"/>
  <c r="G327" i="6" a="1"/>
  <c r="G327" i="6" s="1"/>
  <c r="H327" i="6" s="1" a="1"/>
  <c r="H327" i="6" s="1"/>
  <c r="G119" i="6" a="1"/>
  <c r="G119" i="6" s="1"/>
  <c r="H119" i="6" s="1" a="1"/>
  <c r="H119" i="6" s="1"/>
  <c r="G26" i="6" a="1"/>
  <c r="G26" i="6" s="1"/>
  <c r="H26" i="6" s="1" a="1"/>
  <c r="H26" i="6" s="1"/>
  <c r="G188" i="6" a="1"/>
  <c r="G188" i="6" s="1"/>
  <c r="H188" i="6" s="1" a="1"/>
  <c r="H188" i="6" s="1"/>
  <c r="I379" i="6"/>
  <c r="H379" i="6" a="1"/>
  <c r="H379" i="6" s="1"/>
  <c r="J379" i="6" s="1" a="1"/>
  <c r="J379" i="6" s="1"/>
  <c r="G379" i="6" a="1"/>
  <c r="G379" i="6" s="1"/>
  <c r="G53" i="6" a="1"/>
  <c r="G53" i="6" s="1"/>
  <c r="H53" i="6" s="1" a="1"/>
  <c r="H53" i="6" s="1"/>
  <c r="H590" i="6" a="1"/>
  <c r="H590" i="6" s="1"/>
  <c r="J590" i="6" s="1" a="1"/>
  <c r="J590" i="6" s="1"/>
  <c r="I590" i="6"/>
  <c r="G590" i="6" a="1"/>
  <c r="G590" i="6" s="1"/>
  <c r="G514" i="6" a="1"/>
  <c r="G514" i="6" s="1"/>
  <c r="I514" i="6"/>
  <c r="H514" i="6" a="1"/>
  <c r="H514" i="6" s="1"/>
  <c r="J514" i="6" s="1" a="1"/>
  <c r="J514" i="6" s="1"/>
  <c r="G436" i="6" a="1"/>
  <c r="G436" i="6" s="1"/>
  <c r="I436" i="6"/>
  <c r="H436" i="6" a="1"/>
  <c r="H436" i="6" s="1"/>
  <c r="J436" i="6" s="1" a="1"/>
  <c r="J436" i="6" s="1"/>
  <c r="G333" i="6" a="1"/>
  <c r="G333" i="6" s="1"/>
  <c r="H333" i="6" s="1" a="1"/>
  <c r="H333" i="6" s="1"/>
  <c r="G163" i="6" a="1"/>
  <c r="G163" i="6" s="1"/>
  <c r="H163" i="6" s="1" a="1"/>
  <c r="H163" i="6" s="1"/>
  <c r="G84" i="6" a="1"/>
  <c r="G84" i="6" s="1"/>
  <c r="H84" i="6" s="1" a="1"/>
  <c r="H84" i="6" s="1"/>
  <c r="G286" i="6" a="1"/>
  <c r="G286" i="6" s="1"/>
  <c r="H286" i="6" s="1" a="1"/>
  <c r="H286" i="6" s="1"/>
  <c r="G521" i="6" a="1"/>
  <c r="G521" i="6" s="1"/>
  <c r="H521" i="6" a="1"/>
  <c r="H521" i="6" s="1"/>
  <c r="J521" i="6" s="1" a="1"/>
  <c r="J521" i="6" s="1"/>
  <c r="I521" i="6"/>
  <c r="G486" i="6" a="1"/>
  <c r="G486" i="6" s="1"/>
  <c r="I486" i="6"/>
  <c r="H486" i="6" a="1"/>
  <c r="H486" i="6" s="1"/>
  <c r="J486" i="6" s="1" a="1"/>
  <c r="J486" i="6" s="1"/>
  <c r="I445" i="6"/>
  <c r="H445" i="6" a="1"/>
  <c r="H445" i="6" s="1"/>
  <c r="J445" i="6" s="1" a="1"/>
  <c r="J445" i="6" s="1"/>
  <c r="G445" i="6" a="1"/>
  <c r="G445" i="6" s="1"/>
  <c r="G316" i="6" a="1"/>
  <c r="G316" i="6" s="1"/>
  <c r="H316" i="6" s="1" a="1"/>
  <c r="H316" i="6" s="1"/>
  <c r="G229" i="6" a="1"/>
  <c r="G229" i="6" s="1"/>
  <c r="H229" i="6" s="1" a="1"/>
  <c r="H229" i="6" s="1"/>
  <c r="I545" i="6"/>
  <c r="H545" i="6" a="1"/>
  <c r="H545" i="6" s="1"/>
  <c r="J545" i="6" s="1" a="1"/>
  <c r="J545" i="6" s="1"/>
  <c r="G545" i="6" a="1"/>
  <c r="G545" i="6" s="1"/>
  <c r="I490" i="6"/>
  <c r="H490" i="6" a="1"/>
  <c r="H490" i="6" s="1"/>
  <c r="J490" i="6" s="1" a="1"/>
  <c r="J490" i="6" s="1"/>
  <c r="G490" i="6" a="1"/>
  <c r="G490" i="6" s="1"/>
  <c r="H435" i="6" a="1"/>
  <c r="H435" i="6" s="1"/>
  <c r="J435" i="6" s="1" a="1"/>
  <c r="J435" i="6" s="1"/>
  <c r="G435" i="6" a="1"/>
  <c r="G435" i="6" s="1"/>
  <c r="I435" i="6"/>
  <c r="I403" i="6"/>
  <c r="H403" i="6" a="1"/>
  <c r="H403" i="6" s="1"/>
  <c r="J403" i="6" s="1" a="1"/>
  <c r="J403" i="6" s="1"/>
  <c r="G403" i="6" a="1"/>
  <c r="G403" i="6" s="1"/>
  <c r="G294" i="6" a="1"/>
  <c r="G294" i="6" s="1"/>
  <c r="H294" i="6" s="1" a="1"/>
  <c r="H294" i="6" s="1"/>
  <c r="G277" i="6" a="1"/>
  <c r="G277" i="6" s="1"/>
  <c r="H277" i="6" s="1" a="1"/>
  <c r="H277" i="6" s="1"/>
  <c r="G200" i="6" a="1"/>
  <c r="G200" i="6" s="1"/>
  <c r="H200" i="6" s="1" a="1"/>
  <c r="H200" i="6" s="1"/>
  <c r="G275" i="6" a="1"/>
  <c r="G275" i="6" s="1"/>
  <c r="H275" i="6" s="1" a="1"/>
  <c r="H275" i="6" s="1"/>
  <c r="G56" i="6" a="1"/>
  <c r="G56" i="6" s="1"/>
  <c r="H56" i="6" s="1" a="1"/>
  <c r="H56" i="6" s="1"/>
  <c r="G12" i="6" a="1"/>
  <c r="G12" i="6" s="1"/>
  <c r="H12" i="6" s="1" a="1"/>
  <c r="H12" i="6" s="1"/>
  <c r="G293" i="6" a="1"/>
  <c r="G293" i="6" s="1"/>
  <c r="H293" i="6" s="1" a="1"/>
  <c r="H293" i="6" s="1"/>
  <c r="G239" i="6" a="1"/>
  <c r="G239" i="6" s="1"/>
  <c r="H239" i="6" s="1" a="1"/>
  <c r="H239" i="6" s="1"/>
  <c r="H417" i="6" a="1"/>
  <c r="H417" i="6" s="1"/>
  <c r="J417" i="6" s="1" a="1"/>
  <c r="J417" i="6" s="1"/>
  <c r="G417" i="6" a="1"/>
  <c r="G417" i="6" s="1"/>
  <c r="I417" i="6"/>
  <c r="G474" i="6" a="1"/>
  <c r="G474" i="6" s="1"/>
  <c r="I474" i="6"/>
  <c r="H474" i="6" a="1"/>
  <c r="H474" i="6" s="1"/>
  <c r="J474" i="6" s="1" a="1"/>
  <c r="J474" i="6" s="1"/>
  <c r="I397" i="6"/>
  <c r="H397" i="6" a="1"/>
  <c r="H397" i="6" s="1"/>
  <c r="J397" i="6" s="1" a="1"/>
  <c r="J397" i="6" s="1"/>
  <c r="G397" i="6" a="1"/>
  <c r="G397" i="6" s="1"/>
  <c r="G349" i="6" a="1"/>
  <c r="G349" i="6" s="1"/>
  <c r="H349" i="6" s="1" a="1"/>
  <c r="H349" i="6" s="1"/>
  <c r="G217" i="6" a="1"/>
  <c r="G217" i="6" s="1"/>
  <c r="H217" i="6" s="1" a="1"/>
  <c r="H217" i="6" s="1"/>
  <c r="G215" i="6" a="1"/>
  <c r="G215" i="6" s="1"/>
  <c r="H215" i="6" s="1" a="1"/>
  <c r="H215" i="6" s="1"/>
  <c r="G101" i="6" a="1"/>
  <c r="G101" i="6" s="1"/>
  <c r="H101" i="6" s="1" a="1"/>
  <c r="H101" i="6" s="1"/>
  <c r="I433" i="6"/>
  <c r="H433" i="6" a="1"/>
  <c r="H433" i="6" s="1"/>
  <c r="J433" i="6" s="1" a="1"/>
  <c r="J433" i="6" s="1"/>
  <c r="G433" i="6" a="1"/>
  <c r="G433" i="6" s="1"/>
  <c r="G240" i="6" a="1"/>
  <c r="G240" i="6" s="1"/>
  <c r="H240" i="6" s="1" a="1"/>
  <c r="H240" i="6" s="1"/>
  <c r="G144" i="6" a="1"/>
  <c r="G144" i="6" s="1"/>
  <c r="H144" i="6" s="1" a="1"/>
  <c r="H144" i="6" s="1"/>
  <c r="G55" i="6" a="1"/>
  <c r="G55" i="6" s="1"/>
  <c r="H55" i="6" s="1" a="1"/>
  <c r="H55" i="6" s="1"/>
  <c r="G52" i="6" a="1"/>
  <c r="G52" i="6" s="1"/>
  <c r="H52" i="6" s="1" a="1"/>
  <c r="H52" i="6" s="1"/>
  <c r="I518" i="6"/>
  <c r="H518" i="6" a="1"/>
  <c r="H518" i="6" s="1"/>
  <c r="J518" i="6" s="1" a="1"/>
  <c r="J518" i="6" s="1"/>
  <c r="G518" i="6" a="1"/>
  <c r="G518" i="6" s="1"/>
  <c r="I371" i="6"/>
  <c r="H371" i="6" a="1"/>
  <c r="H371" i="6" s="1"/>
  <c r="J371" i="6" s="1" a="1"/>
  <c r="J371" i="6" s="1"/>
  <c r="G371" i="6" a="1"/>
  <c r="G371" i="6" s="1"/>
  <c r="G193" i="6" a="1"/>
  <c r="G193" i="6" s="1"/>
  <c r="H193" i="6" s="1" a="1"/>
  <c r="H193" i="6" s="1"/>
  <c r="G198" i="6" a="1"/>
  <c r="G198" i="6" s="1"/>
  <c r="H198" i="6" s="1" a="1"/>
  <c r="H198" i="6" s="1"/>
  <c r="G345" i="6" a="1"/>
  <c r="G345" i="6" s="1"/>
  <c r="H345" i="6" s="1" a="1"/>
  <c r="H345" i="6" s="1"/>
  <c r="G563" i="6" a="1"/>
  <c r="G563" i="6" s="1"/>
  <c r="I563" i="6"/>
  <c r="H563" i="6" a="1"/>
  <c r="H563" i="6" s="1"/>
  <c r="J563" i="6" s="1" a="1"/>
  <c r="J563" i="6" s="1"/>
  <c r="G91" i="6" a="1"/>
  <c r="G91" i="6" s="1"/>
  <c r="H91" i="6" s="1" a="1"/>
  <c r="H91" i="6" s="1"/>
  <c r="G300" i="6" a="1"/>
  <c r="G300" i="6" s="1"/>
  <c r="H300" i="6" s="1" a="1"/>
  <c r="H300" i="6" s="1"/>
  <c r="G480" i="6" a="1"/>
  <c r="G480" i="6" s="1"/>
  <c r="I480" i="6"/>
  <c r="H480" i="6" a="1"/>
  <c r="H480" i="6" s="1"/>
  <c r="J480" i="6" s="1" a="1"/>
  <c r="J480" i="6" s="1"/>
  <c r="G213" i="6" a="1"/>
  <c r="G213" i="6" s="1"/>
  <c r="H213" i="6" s="1" a="1"/>
  <c r="H213" i="6" s="1"/>
  <c r="I567" i="6"/>
  <c r="G567" i="6" a="1"/>
  <c r="G567" i="6" s="1"/>
  <c r="H567" i="6" a="1"/>
  <c r="H567" i="6" s="1"/>
  <c r="J567" i="6" s="1" a="1"/>
  <c r="J567" i="6" s="1"/>
  <c r="G195" i="6" a="1"/>
  <c r="G195" i="6" s="1"/>
  <c r="H195" i="6" s="1" a="1"/>
  <c r="H195" i="6" s="1"/>
  <c r="I475" i="6"/>
  <c r="H475" i="6" a="1"/>
  <c r="H475" i="6" s="1"/>
  <c r="J475" i="6" s="1" a="1"/>
  <c r="J475" i="6" s="1"/>
  <c r="G475" i="6" a="1"/>
  <c r="G475" i="6" s="1"/>
  <c r="G320" i="6" a="1"/>
  <c r="G320" i="6" s="1"/>
  <c r="H320" i="6" s="1" a="1"/>
  <c r="H320" i="6" s="1"/>
  <c r="G225" i="6" a="1"/>
  <c r="G225" i="6" s="1"/>
  <c r="H225" i="6" s="1" a="1"/>
  <c r="H225" i="6" s="1"/>
  <c r="G579" i="6" a="1"/>
  <c r="G579" i="6" s="1"/>
  <c r="H579" i="6" a="1"/>
  <c r="H579" i="6" s="1"/>
  <c r="J579" i="6" s="1" a="1"/>
  <c r="J579" i="6" s="1"/>
  <c r="I579" i="6"/>
  <c r="I463" i="6"/>
  <c r="H463" i="6" a="1"/>
  <c r="H463" i="6" s="1"/>
  <c r="J463" i="6" s="1" a="1"/>
  <c r="J463" i="6" s="1"/>
  <c r="G463" i="6" a="1"/>
  <c r="G463" i="6" s="1"/>
  <c r="G342" i="6" a="1"/>
  <c r="G342" i="6" s="1"/>
  <c r="H342" i="6" s="1" a="1"/>
  <c r="H342" i="6" s="1"/>
  <c r="G81" i="6" a="1"/>
  <c r="G81" i="6" s="1"/>
  <c r="H81" i="6" s="1" a="1"/>
  <c r="H81" i="6" s="1"/>
  <c r="G543" i="6" a="1"/>
  <c r="G543" i="6" s="1"/>
  <c r="H543" i="6" a="1"/>
  <c r="H543" i="6" s="1"/>
  <c r="J543" i="6" s="1" a="1"/>
  <c r="J543" i="6" s="1"/>
  <c r="I543" i="6"/>
  <c r="G352" i="6" a="1"/>
  <c r="G352" i="6" s="1"/>
  <c r="H352" i="6" s="1" a="1"/>
  <c r="H352" i="6" s="1"/>
  <c r="G313" i="6" a="1"/>
  <c r="G313" i="6" s="1"/>
  <c r="H313" i="6" s="1" a="1"/>
  <c r="H313" i="6" s="1"/>
  <c r="G135" i="6" a="1"/>
  <c r="G135" i="6" s="1"/>
  <c r="H135" i="6" s="1" a="1"/>
  <c r="H135" i="6" s="1"/>
  <c r="G46" i="6" a="1"/>
  <c r="G46" i="6" s="1"/>
  <c r="H46" i="6" s="1" a="1"/>
  <c r="H46" i="6" s="1"/>
  <c r="G346" i="6" a="1"/>
  <c r="G346" i="6" s="1"/>
  <c r="H346" i="6" s="1" a="1"/>
  <c r="H346" i="6" s="1"/>
  <c r="G307" i="6" a="1"/>
  <c r="G307" i="6" s="1"/>
  <c r="H307" i="6" s="1" a="1"/>
  <c r="H307" i="6" s="1"/>
  <c r="G129" i="6" a="1"/>
  <c r="G129" i="6" s="1"/>
  <c r="H129" i="6" s="1" a="1"/>
  <c r="H129" i="6" s="1"/>
  <c r="G40" i="6" a="1"/>
  <c r="G40" i="6" s="1"/>
  <c r="H40" i="6" s="1" a="1"/>
  <c r="H40" i="6" s="1"/>
  <c r="G295" i="6" a="1"/>
  <c r="G295" i="6" s="1"/>
  <c r="H295" i="6" s="1" a="1"/>
  <c r="H295" i="6" s="1"/>
  <c r="G117" i="6" a="1"/>
  <c r="G117" i="6" s="1"/>
  <c r="H117" i="6" s="1" a="1"/>
  <c r="H117" i="6" s="1"/>
  <c r="G142" i="6" a="1"/>
  <c r="G142" i="6" s="1"/>
  <c r="H142" i="6" s="1" a="1"/>
  <c r="H142" i="6" s="1"/>
  <c r="G28" i="6" a="1"/>
  <c r="G28" i="6" s="1"/>
  <c r="H28" i="6" s="1" a="1"/>
  <c r="H28" i="6" s="1"/>
  <c r="I607" i="6"/>
  <c r="H607" i="6" a="1"/>
  <c r="H607" i="6" s="1"/>
  <c r="J607" i="6" s="1" a="1"/>
  <c r="J607" i="6" s="1"/>
  <c r="G607" i="6" a="1"/>
  <c r="G607" i="6" s="1"/>
  <c r="AQ67" i="4"/>
  <c r="AS66" i="4"/>
  <c r="AP67" i="4"/>
  <c r="BA67" i="4"/>
  <c r="AO67" i="4"/>
  <c r="AZ67" i="4"/>
  <c r="AY67" i="4"/>
  <c r="AX67" i="4"/>
  <c r="AW67" i="4"/>
  <c r="AK67" i="4"/>
  <c r="AY66" i="4"/>
  <c r="AM66" i="4"/>
  <c r="AV67" i="4"/>
  <c r="AU67" i="4"/>
  <c r="AI67" i="4"/>
  <c r="AW66" i="4"/>
  <c r="AK66" i="4"/>
  <c r="AT67" i="4"/>
  <c r="AV66" i="4"/>
  <c r="AJ66" i="4"/>
  <c r="AS67" i="4"/>
  <c r="AU66" i="4"/>
  <c r="AI66" i="4"/>
  <c r="AR67" i="4"/>
  <c r="AL67" i="4"/>
  <c r="AQ66" i="4"/>
  <c r="AJ67" i="4"/>
  <c r="AP66" i="4"/>
  <c r="AN66" i="4"/>
  <c r="AL66" i="4"/>
  <c r="BA66" i="4"/>
  <c r="AX66" i="4"/>
  <c r="AN67" i="4"/>
  <c r="AT66" i="4"/>
  <c r="AZ66" i="4"/>
  <c r="AR66" i="4"/>
  <c r="AO66" i="4"/>
  <c r="AM67" i="4"/>
  <c r="G171" i="6" a="1"/>
  <c r="G171" i="6" s="1"/>
  <c r="H171" i="6" s="1" a="1"/>
  <c r="H171" i="6" s="1"/>
  <c r="G597" i="6" a="1"/>
  <c r="G597" i="6" s="1"/>
  <c r="H597" i="6" a="1"/>
  <c r="H597" i="6" s="1"/>
  <c r="J597" i="6" s="1" a="1"/>
  <c r="J597" i="6" s="1"/>
  <c r="I597" i="6"/>
  <c r="G15" i="6" a="1"/>
  <c r="G15" i="6" s="1"/>
  <c r="H15" i="6" s="1" a="1"/>
  <c r="H15" i="6" s="1"/>
  <c r="G549" i="6" a="1"/>
  <c r="G549" i="6" s="1"/>
  <c r="I549" i="6"/>
  <c r="H549" i="6" a="1"/>
  <c r="H549" i="6" s="1"/>
  <c r="J549" i="6" s="1" a="1"/>
  <c r="J549" i="6" s="1"/>
  <c r="I407" i="6"/>
  <c r="H407" i="6" a="1"/>
  <c r="H407" i="6" s="1"/>
  <c r="J407" i="6" s="1" a="1"/>
  <c r="J407" i="6" s="1"/>
  <c r="G407" i="6" a="1"/>
  <c r="G407" i="6" s="1"/>
  <c r="I376" i="6"/>
  <c r="H376" i="6" a="1"/>
  <c r="H376" i="6" s="1"/>
  <c r="J376" i="6" s="1" a="1"/>
  <c r="J376" i="6" s="1"/>
  <c r="G376" i="6" a="1"/>
  <c r="G376" i="6" s="1"/>
  <c r="G159" i="6" a="1"/>
  <c r="G159" i="6" s="1"/>
  <c r="H159" i="6" s="1" a="1"/>
  <c r="H159" i="6" s="1"/>
  <c r="G69" i="6" a="1"/>
  <c r="G69" i="6" s="1"/>
  <c r="H69" i="6" s="1" a="1"/>
  <c r="H69" i="6" s="1"/>
  <c r="G255" i="6" a="1"/>
  <c r="G255" i="6" s="1"/>
  <c r="H255" i="6" s="1" a="1"/>
  <c r="H255" i="6" s="1"/>
  <c r="I488" i="6"/>
  <c r="H488" i="6" a="1"/>
  <c r="H488" i="6" s="1"/>
  <c r="J488" i="6" s="1" a="1"/>
  <c r="J488" i="6" s="1"/>
  <c r="G488" i="6" a="1"/>
  <c r="G488" i="6" s="1"/>
  <c r="G554" i="6" a="1"/>
  <c r="G554" i="6" s="1"/>
  <c r="H554" i="6" a="1"/>
  <c r="H554" i="6" s="1"/>
  <c r="J554" i="6" s="1" a="1"/>
  <c r="J554" i="6" s="1"/>
  <c r="I554" i="6"/>
  <c r="G406" i="6" a="1"/>
  <c r="G406" i="6" s="1"/>
  <c r="I406" i="6"/>
  <c r="H406" i="6" a="1"/>
  <c r="H406" i="6" s="1"/>
  <c r="J406" i="6" s="1" a="1"/>
  <c r="J406" i="6" s="1"/>
  <c r="G235" i="6" a="1"/>
  <c r="G235" i="6" s="1"/>
  <c r="H235" i="6" s="1" a="1"/>
  <c r="H235" i="6" s="1"/>
  <c r="G318" i="6" a="1"/>
  <c r="G318" i="6" s="1"/>
  <c r="H318" i="6" s="1" a="1"/>
  <c r="H318" i="6" s="1"/>
  <c r="G211" i="6" a="1"/>
  <c r="G211" i="6" s="1"/>
  <c r="H211" i="6" s="1" a="1"/>
  <c r="H211" i="6" s="1"/>
  <c r="G298" i="6" a="1"/>
  <c r="G298" i="6" s="1"/>
  <c r="H298" i="6" s="1" a="1"/>
  <c r="H298" i="6" s="1"/>
  <c r="H519" i="6" a="1"/>
  <c r="H519" i="6" s="1"/>
  <c r="J519" i="6" s="1" a="1"/>
  <c r="J519" i="6" s="1"/>
  <c r="G519" i="6" a="1"/>
  <c r="G519" i="6" s="1"/>
  <c r="I519" i="6"/>
  <c r="H441" i="6" a="1"/>
  <c r="H441" i="6" s="1"/>
  <c r="J441" i="6" s="1" a="1"/>
  <c r="J441" i="6" s="1"/>
  <c r="G441" i="6" a="1"/>
  <c r="G441" i="6" s="1"/>
  <c r="I441" i="6"/>
  <c r="G167" i="6" a="1"/>
  <c r="G167" i="6" s="1"/>
  <c r="H167" i="6" s="1" a="1"/>
  <c r="H167" i="6" s="1"/>
  <c r="I484" i="6"/>
  <c r="H484" i="6" a="1"/>
  <c r="H484" i="6" s="1"/>
  <c r="J484" i="6" s="1" a="1"/>
  <c r="J484" i="6" s="1"/>
  <c r="G484" i="6" a="1"/>
  <c r="G484" i="6" s="1"/>
  <c r="G209" i="6" a="1"/>
  <c r="G209" i="6" s="1"/>
  <c r="H209" i="6" s="1" a="1"/>
  <c r="H209" i="6" s="1"/>
  <c r="G400" i="6" a="1"/>
  <c r="G400" i="6" s="1"/>
  <c r="I400" i="6"/>
  <c r="H400" i="6" a="1"/>
  <c r="H400" i="6" s="1"/>
  <c r="J400" i="6" s="1" a="1"/>
  <c r="J400" i="6" s="1"/>
  <c r="G592" i="6" a="1"/>
  <c r="G592" i="6" s="1"/>
  <c r="I592" i="6"/>
  <c r="H592" i="6" a="1"/>
  <c r="H592" i="6" s="1"/>
  <c r="J592" i="6" s="1" a="1"/>
  <c r="J592" i="6" s="1"/>
  <c r="G237" i="6" a="1"/>
  <c r="G237" i="6" s="1"/>
  <c r="H237" i="6" s="1" a="1"/>
  <c r="H237" i="6" s="1"/>
  <c r="G160" i="6" a="1"/>
  <c r="G160" i="6" s="1"/>
  <c r="H160" i="6" s="1" a="1"/>
  <c r="H160" i="6" s="1"/>
  <c r="I512" i="6"/>
  <c r="H512" i="6" a="1"/>
  <c r="H512" i="6" s="1"/>
  <c r="J512" i="6" s="1" a="1"/>
  <c r="J512" i="6" s="1"/>
  <c r="G512" i="6" a="1"/>
  <c r="G512" i="6" s="1"/>
  <c r="G231" i="6" a="1"/>
  <c r="G231" i="6" s="1"/>
  <c r="H231" i="6" s="1" a="1"/>
  <c r="H231" i="6" s="1"/>
  <c r="G154" i="6" a="1"/>
  <c r="G154" i="6" s="1"/>
  <c r="H154" i="6" s="1" a="1"/>
  <c r="H154" i="6" s="1"/>
  <c r="G285" i="6" a="1"/>
  <c r="G285" i="6" s="1"/>
  <c r="H285" i="6" s="1" a="1"/>
  <c r="H285" i="6" s="1"/>
  <c r="G100" i="6" a="1"/>
  <c r="G100" i="6" s="1"/>
  <c r="H100" i="6" s="1" a="1"/>
  <c r="H100" i="6" s="1"/>
  <c r="G267" i="6" a="1"/>
  <c r="G267" i="6" s="1"/>
  <c r="H267" i="6" s="1" a="1"/>
  <c r="H267" i="6" s="1"/>
  <c r="G190" i="6" a="1"/>
  <c r="G190" i="6" s="1"/>
  <c r="H190" i="6" s="1" a="1"/>
  <c r="H190" i="6" s="1"/>
  <c r="I522" i="6"/>
  <c r="H522" i="6" a="1"/>
  <c r="H522" i="6" s="1"/>
  <c r="J522" i="6" s="1" a="1"/>
  <c r="J522" i="6" s="1"/>
  <c r="G522" i="6" a="1"/>
  <c r="G522" i="6" s="1"/>
  <c r="I517" i="6"/>
  <c r="H517" i="6" a="1"/>
  <c r="H517" i="6" s="1"/>
  <c r="J517" i="6" s="1" a="1"/>
  <c r="J517" i="6" s="1"/>
  <c r="G517" i="6" a="1"/>
  <c r="G517" i="6" s="1"/>
  <c r="I426" i="6"/>
  <c r="H426" i="6" a="1"/>
  <c r="H426" i="6" s="1"/>
  <c r="J426" i="6" s="1" a="1"/>
  <c r="J426" i="6" s="1"/>
  <c r="G426" i="6" a="1"/>
  <c r="G426" i="6" s="1"/>
  <c r="I383" i="6"/>
  <c r="H383" i="6" a="1"/>
  <c r="H383" i="6" s="1"/>
  <c r="J383" i="6" s="1" a="1"/>
  <c r="J383" i="6" s="1"/>
  <c r="G383" i="6" a="1"/>
  <c r="G383" i="6" s="1"/>
  <c r="G6" i="6" a="1"/>
  <c r="G6" i="6" s="1"/>
  <c r="H6" i="6" s="1" a="1"/>
  <c r="H6" i="6" s="1"/>
  <c r="G130" i="6" a="1"/>
  <c r="G130" i="6" s="1"/>
  <c r="H130" i="6" s="1" a="1"/>
  <c r="H130" i="6" s="1"/>
  <c r="G586" i="6" a="1"/>
  <c r="G586" i="6" s="1"/>
  <c r="I586" i="6"/>
  <c r="H586" i="6" a="1"/>
  <c r="H586" i="6" s="1"/>
  <c r="J586" i="6" s="1" a="1"/>
  <c r="J586" i="6" s="1"/>
  <c r="G261" i="6" a="1"/>
  <c r="G261" i="6" s="1"/>
  <c r="H261" i="6" s="1" a="1"/>
  <c r="H261" i="6" s="1"/>
  <c r="G184" i="6" a="1"/>
  <c r="G184" i="6" s="1"/>
  <c r="H184" i="6" s="1" a="1"/>
  <c r="H184" i="6" s="1"/>
  <c r="G570" i="6" a="1"/>
  <c r="G570" i="6" s="1"/>
  <c r="I570" i="6"/>
  <c r="H570" i="6" a="1"/>
  <c r="H570" i="6" s="1"/>
  <c r="J570" i="6" s="1" a="1"/>
  <c r="J570" i="6" s="1"/>
  <c r="G29" i="6" a="1"/>
  <c r="G29" i="6" s="1"/>
  <c r="H29" i="6" s="1" a="1"/>
  <c r="H29" i="6" s="1"/>
  <c r="G112" i="6" a="1"/>
  <c r="G112" i="6" s="1"/>
  <c r="H112" i="6" s="1" a="1"/>
  <c r="H112" i="6" s="1"/>
  <c r="G164" i="6" a="1"/>
  <c r="G164" i="6" s="1"/>
  <c r="H164" i="6" s="1" a="1"/>
  <c r="H164" i="6" s="1"/>
  <c r="G218" i="6" a="1"/>
  <c r="G218" i="6" s="1"/>
  <c r="H218" i="6" s="1" a="1"/>
  <c r="H218" i="6" s="1"/>
  <c r="G140" i="6" a="1"/>
  <c r="G140" i="6" s="1"/>
  <c r="H140" i="6" s="1" a="1"/>
  <c r="H140" i="6" s="1"/>
  <c r="G551" i="6" a="1"/>
  <c r="G551" i="6" s="1"/>
  <c r="I551" i="6"/>
  <c r="H551" i="6" a="1"/>
  <c r="H551" i="6" s="1"/>
  <c r="J551" i="6" s="1" a="1"/>
  <c r="J551" i="6" s="1"/>
  <c r="H429" i="6" a="1"/>
  <c r="H429" i="6" s="1"/>
  <c r="J429" i="6" s="1" a="1"/>
  <c r="J429" i="6" s="1"/>
  <c r="G429" i="6" a="1"/>
  <c r="G429" i="6" s="1"/>
  <c r="I429" i="6"/>
  <c r="G281" i="6" a="1"/>
  <c r="G281" i="6" s="1"/>
  <c r="H281" i="6" s="1" a="1"/>
  <c r="H281" i="6" s="1"/>
  <c r="J19" i="6" a="1"/>
  <c r="J19" i="6" s="1"/>
  <c r="K19" i="6" a="1"/>
  <c r="K19" i="6" s="1"/>
  <c r="G555" i="6" a="1"/>
  <c r="G555" i="6" s="1"/>
  <c r="H555" i="6" a="1"/>
  <c r="H555" i="6" s="1"/>
  <c r="J555" i="6" s="1" a="1"/>
  <c r="J555" i="6" s="1"/>
  <c r="I555" i="6"/>
  <c r="I487" i="6"/>
  <c r="H487" i="6" a="1"/>
  <c r="H487" i="6" s="1"/>
  <c r="J487" i="6" s="1" a="1"/>
  <c r="J487" i="6" s="1"/>
  <c r="G487" i="6" a="1"/>
  <c r="G487" i="6" s="1"/>
  <c r="G353" i="6" a="1"/>
  <c r="G353" i="6" s="1"/>
  <c r="H353" i="6" s="1" a="1"/>
  <c r="H353" i="6" s="1"/>
  <c r="I571" i="6"/>
  <c r="H571" i="6" a="1"/>
  <c r="H571" i="6" s="1"/>
  <c r="J571" i="6" s="1" a="1"/>
  <c r="J571" i="6" s="1"/>
  <c r="G571" i="6" a="1"/>
  <c r="G571" i="6" s="1"/>
  <c r="I408" i="6"/>
  <c r="H408" i="6" a="1"/>
  <c r="H408" i="6" s="1"/>
  <c r="J408" i="6" s="1" a="1"/>
  <c r="J408" i="6" s="1"/>
  <c r="G408" i="6" a="1"/>
  <c r="G408" i="6" s="1"/>
  <c r="G70" i="6" a="1"/>
  <c r="G70" i="6" s="1"/>
  <c r="H70" i="6" s="1" a="1"/>
  <c r="H70" i="6" s="1"/>
  <c r="I538" i="6"/>
  <c r="G538" i="6" a="1"/>
  <c r="G538" i="6" s="1"/>
  <c r="H538" i="6" a="1"/>
  <c r="H538" i="6" s="1"/>
  <c r="J538" i="6" s="1" a="1"/>
  <c r="J538" i="6" s="1"/>
  <c r="I588" i="6"/>
  <c r="H588" i="6" a="1"/>
  <c r="H588" i="6" s="1"/>
  <c r="J588" i="6" s="1" a="1"/>
  <c r="J588" i="6" s="1"/>
  <c r="G588" i="6" a="1"/>
  <c r="G588" i="6" s="1"/>
  <c r="I564" i="6"/>
  <c r="H564" i="6" a="1"/>
  <c r="H564" i="6" s="1"/>
  <c r="J564" i="6" s="1" a="1"/>
  <c r="J564" i="6" s="1"/>
  <c r="G564" i="6" a="1"/>
  <c r="G564" i="6" s="1"/>
  <c r="I385" i="6"/>
  <c r="H385" i="6" a="1"/>
  <c r="H385" i="6" s="1"/>
  <c r="J385" i="6" s="1" a="1"/>
  <c r="J385" i="6" s="1"/>
  <c r="G385" i="6" a="1"/>
  <c r="G385" i="6" s="1"/>
  <c r="G236" i="6" a="1"/>
  <c r="G236" i="6" s="1"/>
  <c r="H236" i="6" s="1" a="1"/>
  <c r="H236" i="6" s="1"/>
  <c r="G138" i="6" a="1"/>
  <c r="G138" i="6" s="1"/>
  <c r="H138" i="6" s="1" a="1"/>
  <c r="H138" i="6" s="1"/>
  <c r="G227" i="6" a="1"/>
  <c r="G227" i="6" s="1"/>
  <c r="H227" i="6" s="1" a="1"/>
  <c r="H227" i="6" s="1"/>
  <c r="G50" i="6" a="1"/>
  <c r="G50" i="6" s="1"/>
  <c r="H50" i="6" s="1" a="1"/>
  <c r="H50" i="6" s="1"/>
  <c r="H608" i="6" a="1"/>
  <c r="H608" i="6" s="1"/>
  <c r="J608" i="6" s="1" a="1"/>
  <c r="J608" i="6" s="1"/>
  <c r="I608" i="6"/>
  <c r="G608" i="6" a="1"/>
  <c r="G608" i="6" s="1"/>
  <c r="H525" i="6" a="1"/>
  <c r="H525" i="6" s="1"/>
  <c r="J525" i="6" s="1" a="1"/>
  <c r="J525" i="6" s="1"/>
  <c r="G525" i="6" a="1"/>
  <c r="G525" i="6" s="1"/>
  <c r="I525" i="6"/>
  <c r="G357" i="6" a="1"/>
  <c r="G357" i="6" s="1"/>
  <c r="H357" i="6" s="1" a="1"/>
  <c r="H357" i="6" s="1"/>
  <c r="G330" i="6" a="1"/>
  <c r="G330" i="6" s="1"/>
  <c r="H330" i="6" s="1" a="1"/>
  <c r="H330" i="6" s="1"/>
  <c r="G242" i="6" a="1"/>
  <c r="G242" i="6" s="1"/>
  <c r="H242" i="6" s="1" a="1"/>
  <c r="H242" i="6" s="1"/>
  <c r="G245" i="6" a="1"/>
  <c r="G245" i="6" s="1"/>
  <c r="H245" i="6" s="1" a="1"/>
  <c r="H245" i="6" s="1"/>
  <c r="G115" i="6" a="1"/>
  <c r="G115" i="6" s="1"/>
  <c r="H115" i="6" s="1" a="1"/>
  <c r="H115" i="6" s="1"/>
  <c r="G282" i="6" a="1"/>
  <c r="G282" i="6" s="1"/>
  <c r="H282" i="6" s="1" a="1"/>
  <c r="H282" i="6" s="1"/>
  <c r="G92" i="6" a="1"/>
  <c r="G92" i="6" s="1"/>
  <c r="H92" i="6" s="1" a="1"/>
  <c r="H92" i="6" s="1"/>
  <c r="G37" i="6" a="1"/>
  <c r="G37" i="6" s="1"/>
  <c r="H37" i="6" s="1" a="1"/>
  <c r="H37" i="6" s="1"/>
  <c r="I398" i="6"/>
  <c r="H398" i="6" a="1"/>
  <c r="H398" i="6" s="1"/>
  <c r="J398" i="6" s="1" a="1"/>
  <c r="J398" i="6" s="1"/>
  <c r="G398" i="6" a="1"/>
  <c r="G398" i="6" s="1"/>
  <c r="G67" i="6" a="1"/>
  <c r="G67" i="6" s="1"/>
  <c r="H67" i="6" s="1" a="1"/>
  <c r="H67" i="6" s="1"/>
  <c r="G161" i="6" a="1"/>
  <c r="G161" i="6" s="1"/>
  <c r="H161" i="6" s="1" a="1"/>
  <c r="H161" i="6" s="1"/>
  <c r="H602" i="6" a="1"/>
  <c r="H602" i="6" s="1"/>
  <c r="J602" i="6" s="1" a="1"/>
  <c r="J602" i="6" s="1"/>
  <c r="I602" i="6"/>
  <c r="G602" i="6" a="1"/>
  <c r="G602" i="6" s="1"/>
  <c r="G548" i="6" a="1"/>
  <c r="G548" i="6" s="1"/>
  <c r="H548" i="6" a="1"/>
  <c r="H548" i="6" s="1"/>
  <c r="J548" i="6" s="1" a="1"/>
  <c r="J548" i="6" s="1"/>
  <c r="I548" i="6"/>
  <c r="G351" i="6" a="1"/>
  <c r="G351" i="6" s="1"/>
  <c r="H351" i="6" s="1" a="1"/>
  <c r="H351" i="6" s="1"/>
  <c r="G324" i="6" a="1"/>
  <c r="G324" i="6" s="1"/>
  <c r="H324" i="6" s="1" a="1"/>
  <c r="H324" i="6" s="1"/>
  <c r="G354" i="6" a="1"/>
  <c r="G354" i="6" s="1"/>
  <c r="H354" i="6" s="1" a="1"/>
  <c r="H354" i="6" s="1"/>
  <c r="G234" i="6" a="1"/>
  <c r="G234" i="6" s="1"/>
  <c r="H234" i="6" s="1" a="1"/>
  <c r="H234" i="6" s="1"/>
  <c r="G109" i="6" a="1"/>
  <c r="G109" i="6" s="1"/>
  <c r="H109" i="6" s="1" a="1"/>
  <c r="H109" i="6" s="1"/>
  <c r="G132" i="6" a="1"/>
  <c r="G132" i="6" s="1"/>
  <c r="H132" i="6" s="1" a="1"/>
  <c r="H132" i="6" s="1"/>
  <c r="G86" i="6" a="1"/>
  <c r="G86" i="6" s="1"/>
  <c r="H86" i="6" s="1" a="1"/>
  <c r="H86" i="6" s="1"/>
  <c r="G31" i="6" a="1"/>
  <c r="G31" i="6" s="1"/>
  <c r="H31" i="6" s="1" a="1"/>
  <c r="H31" i="6" s="1"/>
  <c r="I552" i="6"/>
  <c r="H552" i="6" a="1"/>
  <c r="H552" i="6" s="1"/>
  <c r="J552" i="6" s="1" a="1"/>
  <c r="J552" i="6" s="1"/>
  <c r="G552" i="6" a="1"/>
  <c r="G552" i="6" s="1"/>
  <c r="G526" i="6" a="1"/>
  <c r="G526" i="6" s="1"/>
  <c r="I526" i="6"/>
  <c r="H526" i="6" a="1"/>
  <c r="H526" i="6" s="1"/>
  <c r="J526" i="6" s="1" a="1"/>
  <c r="J526" i="6" s="1"/>
  <c r="G448" i="6" a="1"/>
  <c r="G448" i="6" s="1"/>
  <c r="I448" i="6"/>
  <c r="H448" i="6" a="1"/>
  <c r="H448" i="6" s="1"/>
  <c r="J448" i="6" s="1" a="1"/>
  <c r="J448" i="6" s="1"/>
  <c r="G175" i="6" a="1"/>
  <c r="G175" i="6" s="1"/>
  <c r="H175" i="6" s="1" a="1"/>
  <c r="H175" i="6" s="1"/>
  <c r="G96" i="6" a="1"/>
  <c r="G96" i="6" s="1"/>
  <c r="H96" i="6" s="1" a="1"/>
  <c r="H96" i="6" s="1"/>
  <c r="G265" i="6" a="1"/>
  <c r="G265" i="6" s="1"/>
  <c r="H265" i="6" s="1" a="1"/>
  <c r="H265" i="6" s="1"/>
  <c r="G59" i="6" a="1"/>
  <c r="G59" i="6" s="1"/>
  <c r="H59" i="6" s="1" a="1"/>
  <c r="H59" i="6" s="1"/>
  <c r="H374" i="6" a="1"/>
  <c r="H374" i="6" s="1"/>
  <c r="J374" i="6" s="1" a="1"/>
  <c r="J374" i="6" s="1"/>
  <c r="G374" i="6" a="1"/>
  <c r="G374" i="6" s="1"/>
  <c r="I374" i="6"/>
  <c r="G42" i="6" a="1"/>
  <c r="G42" i="6" s="1"/>
  <c r="H42" i="6" s="1" a="1"/>
  <c r="H42" i="6" s="1"/>
  <c r="G591" i="6" a="1"/>
  <c r="G591" i="6" s="1"/>
  <c r="H591" i="6" a="1"/>
  <c r="H591" i="6" s="1"/>
  <c r="J591" i="6" s="1" a="1"/>
  <c r="J591" i="6" s="1"/>
  <c r="I591" i="6"/>
  <c r="G520" i="6" a="1"/>
  <c r="G520" i="6" s="1"/>
  <c r="I520" i="6"/>
  <c r="H520" i="6" a="1"/>
  <c r="H520" i="6" s="1"/>
  <c r="J520" i="6" s="1" a="1"/>
  <c r="J520" i="6" s="1"/>
  <c r="G442" i="6" a="1"/>
  <c r="G442" i="6" s="1"/>
  <c r="H442" i="6" a="1"/>
  <c r="H442" i="6" s="1"/>
  <c r="J442" i="6" s="1" a="1"/>
  <c r="J442" i="6" s="1"/>
  <c r="I442" i="6"/>
  <c r="G169" i="6" a="1"/>
  <c r="G169" i="6" s="1"/>
  <c r="H169" i="6" s="1" a="1"/>
  <c r="H169" i="6" s="1"/>
  <c r="G90" i="6" a="1"/>
  <c r="G90" i="6" s="1"/>
  <c r="H90" i="6" s="1" a="1"/>
  <c r="H90" i="6" s="1"/>
  <c r="G197" i="6" a="1"/>
  <c r="G197" i="6" s="1"/>
  <c r="H197" i="6" s="1" a="1"/>
  <c r="H197" i="6" s="1"/>
  <c r="G71" i="6" a="1"/>
  <c r="G71" i="6" s="1"/>
  <c r="H71" i="6" s="1" a="1"/>
  <c r="H71" i="6" s="1"/>
  <c r="G133" i="6" a="1"/>
  <c r="G133" i="6" s="1"/>
  <c r="H133" i="6" s="1" a="1"/>
  <c r="H133" i="6" s="1"/>
  <c r="G27" i="6" a="1"/>
  <c r="G27" i="6" s="1"/>
  <c r="H27" i="6" s="1" a="1"/>
  <c r="H27" i="6" s="1"/>
  <c r="I557" i="6"/>
  <c r="H557" i="6" a="1"/>
  <c r="H557" i="6" s="1"/>
  <c r="J557" i="6" s="1" a="1"/>
  <c r="J557" i="6" s="1"/>
  <c r="G557" i="6" a="1"/>
  <c r="G557" i="6" s="1"/>
  <c r="H513" i="6" a="1"/>
  <c r="H513" i="6" s="1"/>
  <c r="J513" i="6" s="1" a="1"/>
  <c r="J513" i="6" s="1"/>
  <c r="G513" i="6" a="1"/>
  <c r="G513" i="6" s="1"/>
  <c r="I513" i="6"/>
  <c r="H547" i="6" a="1"/>
  <c r="H547" i="6" s="1"/>
  <c r="J547" i="6" s="1" a="1"/>
  <c r="J547" i="6" s="1"/>
  <c r="I547" i="6"/>
  <c r="G547" i="6" a="1"/>
  <c r="G547" i="6" s="1"/>
  <c r="H447" i="6" a="1"/>
  <c r="H447" i="6" s="1"/>
  <c r="J447" i="6" s="1" a="1"/>
  <c r="J447" i="6" s="1"/>
  <c r="G447" i="6" a="1"/>
  <c r="G447" i="6" s="1"/>
  <c r="I447" i="6"/>
  <c r="I477" i="6"/>
  <c r="H477" i="6" a="1"/>
  <c r="H477" i="6" s="1"/>
  <c r="J477" i="6" s="1" a="1"/>
  <c r="J477" i="6" s="1"/>
  <c r="G477" i="6" a="1"/>
  <c r="G477" i="6" s="1"/>
  <c r="G306" i="6" a="1"/>
  <c r="G306" i="6" s="1"/>
  <c r="H306" i="6" s="1" a="1"/>
  <c r="H306" i="6" s="1"/>
  <c r="G212" i="6" a="1"/>
  <c r="G212" i="6" s="1"/>
  <c r="H212" i="6" s="1" a="1"/>
  <c r="H212" i="6" s="1"/>
  <c r="I391" i="6"/>
  <c r="H391" i="6" a="1"/>
  <c r="H391" i="6" s="1"/>
  <c r="J391" i="6" s="1" a="1"/>
  <c r="J391" i="6" s="1"/>
  <c r="G391" i="6" a="1"/>
  <c r="G391" i="6" s="1"/>
  <c r="G68" i="6" a="1"/>
  <c r="G68" i="6" s="1"/>
  <c r="H68" i="6" s="1" a="1"/>
  <c r="H68" i="6" s="1"/>
  <c r="G264" i="6" a="1"/>
  <c r="G264" i="6" s="1"/>
  <c r="H264" i="6" s="1" a="1"/>
  <c r="H264" i="6" s="1"/>
  <c r="I478" i="6"/>
  <c r="H478" i="6" a="1"/>
  <c r="H478" i="6" s="1"/>
  <c r="J478" i="6" s="1" a="1"/>
  <c r="J478" i="6" s="1"/>
  <c r="G478" i="6" a="1"/>
  <c r="G478" i="6" s="1"/>
  <c r="G139" i="6" a="1"/>
  <c r="G139" i="6" s="1"/>
  <c r="H139" i="6" s="1" a="1"/>
  <c r="H139" i="6" s="1"/>
  <c r="I540" i="6"/>
  <c r="H540" i="6" a="1"/>
  <c r="H540" i="6" s="1"/>
  <c r="J540" i="6" s="1" a="1"/>
  <c r="J540" i="6" s="1"/>
  <c r="G540" i="6" a="1"/>
  <c r="G540" i="6" s="1"/>
  <c r="G95" i="6" a="1"/>
  <c r="G95" i="6" s="1"/>
  <c r="H95" i="6" s="1" a="1"/>
  <c r="H95" i="6" s="1"/>
  <c r="I589" i="6"/>
  <c r="H589" i="6" a="1"/>
  <c r="H589" i="6" s="1"/>
  <c r="J589" i="6" s="1" a="1"/>
  <c r="J589" i="6" s="1"/>
  <c r="G589" i="6" a="1"/>
  <c r="G589" i="6" s="1"/>
  <c r="G508" i="6" a="1"/>
  <c r="G508" i="6" s="1"/>
  <c r="I508" i="6"/>
  <c r="H508" i="6" a="1"/>
  <c r="H508" i="6" s="1"/>
  <c r="J508" i="6" s="1" a="1"/>
  <c r="J508" i="6" s="1"/>
  <c r="H491" i="6" a="1"/>
  <c r="H491" i="6" s="1"/>
  <c r="J491" i="6" s="1" a="1"/>
  <c r="J491" i="6" s="1"/>
  <c r="G491" i="6" a="1"/>
  <c r="G491" i="6" s="1"/>
  <c r="I491" i="6"/>
  <c r="G430" i="6" a="1"/>
  <c r="G430" i="6" s="1"/>
  <c r="I430" i="6"/>
  <c r="H430" i="6" a="1"/>
  <c r="H430" i="6" s="1"/>
  <c r="J430" i="6" s="1" a="1"/>
  <c r="J430" i="6" s="1"/>
  <c r="I434" i="6"/>
  <c r="H434" i="6" a="1"/>
  <c r="H434" i="6" s="1"/>
  <c r="J434" i="6" s="1" a="1"/>
  <c r="J434" i="6" s="1"/>
  <c r="G434" i="6" a="1"/>
  <c r="G434" i="6" s="1"/>
  <c r="G309" i="6" a="1"/>
  <c r="G309" i="6" s="1"/>
  <c r="H309" i="6" s="1" a="1"/>
  <c r="H309" i="6" s="1"/>
  <c r="G157" i="6" a="1"/>
  <c r="G157" i="6" s="1"/>
  <c r="H157" i="6" s="1" a="1"/>
  <c r="H157" i="6" s="1"/>
  <c r="G78" i="6" a="1"/>
  <c r="G78" i="6" s="1"/>
  <c r="H78" i="6" s="1" a="1"/>
  <c r="H78" i="6" s="1"/>
  <c r="I472" i="6"/>
  <c r="H472" i="6" a="1"/>
  <c r="H472" i="6" s="1"/>
  <c r="J472" i="6" s="1" a="1"/>
  <c r="J472" i="6" s="1"/>
  <c r="G472" i="6" a="1"/>
  <c r="G472" i="6" s="1"/>
  <c r="I392" i="6"/>
  <c r="H392" i="6" a="1"/>
  <c r="H392" i="6" s="1"/>
  <c r="J392" i="6" s="1" a="1"/>
  <c r="J392" i="6" s="1"/>
  <c r="G392" i="6" a="1"/>
  <c r="G392" i="6" s="1"/>
  <c r="G305" i="6" a="1"/>
  <c r="G305" i="6" s="1"/>
  <c r="H305" i="6" s="1" a="1"/>
  <c r="H305" i="6" s="1"/>
  <c r="G328" i="6" a="1"/>
  <c r="G328" i="6" s="1"/>
  <c r="H328" i="6" s="1" a="1"/>
  <c r="H328" i="6" s="1"/>
  <c r="G128" i="6" a="1"/>
  <c r="G128" i="6" s="1"/>
  <c r="H128" i="6" s="1" a="1"/>
  <c r="H128" i="6" s="1"/>
  <c r="G168" i="6" a="1"/>
  <c r="G168" i="6" s="1"/>
  <c r="H168" i="6" s="1" a="1"/>
  <c r="H168" i="6" s="1"/>
  <c r="G79" i="6" a="1"/>
  <c r="G79" i="6" s="1"/>
  <c r="H79" i="6" s="1" a="1"/>
  <c r="H79" i="6" s="1"/>
  <c r="G65" i="6" a="1"/>
  <c r="G65" i="6" s="1"/>
  <c r="H65" i="6" s="1" a="1"/>
  <c r="H65" i="6" s="1"/>
  <c r="H473" i="6" a="1"/>
  <c r="H473" i="6" s="1"/>
  <c r="J473" i="6" s="1" a="1"/>
  <c r="J473" i="6" s="1"/>
  <c r="G473" i="6" a="1"/>
  <c r="G473" i="6" s="1"/>
  <c r="I473" i="6"/>
  <c r="G14" i="6" a="1"/>
  <c r="G14" i="6" s="1"/>
  <c r="H14" i="6" s="1" a="1"/>
  <c r="H14" i="6" s="1"/>
  <c r="I390" i="6"/>
  <c r="H390" i="6" a="1"/>
  <c r="H390" i="6" s="1"/>
  <c r="J390" i="6" s="1" a="1"/>
  <c r="J390" i="6" s="1"/>
  <c r="G390" i="6" a="1"/>
  <c r="G390" i="6" s="1"/>
  <c r="G54" i="6" a="1"/>
  <c r="G54" i="6" s="1"/>
  <c r="H54" i="6" s="1" a="1"/>
  <c r="H54" i="6" s="1"/>
  <c r="G496" i="6" a="1"/>
  <c r="G496" i="6" s="1"/>
  <c r="H496" i="6" a="1"/>
  <c r="H496" i="6" s="1"/>
  <c r="J496" i="6" s="1" a="1"/>
  <c r="J496" i="6" s="1"/>
  <c r="I496" i="6"/>
  <c r="H479" i="6" a="1"/>
  <c r="H479" i="6" s="1"/>
  <c r="J479" i="6" s="1" a="1"/>
  <c r="J479" i="6" s="1"/>
  <c r="G479" i="6" a="1"/>
  <c r="G479" i="6" s="1"/>
  <c r="I479" i="6"/>
  <c r="G418" i="6" a="1"/>
  <c r="G418" i="6" s="1"/>
  <c r="I418" i="6"/>
  <c r="H418" i="6" a="1"/>
  <c r="H418" i="6" s="1"/>
  <c r="J418" i="6" s="1" a="1"/>
  <c r="J418" i="6" s="1"/>
  <c r="G387" i="6" a="1"/>
  <c r="G387" i="6" s="1"/>
  <c r="H387" i="6" a="1"/>
  <c r="H387" i="6" s="1"/>
  <c r="J387" i="6" s="1" a="1"/>
  <c r="J387" i="6" s="1"/>
  <c r="I387" i="6"/>
  <c r="I439" i="6"/>
  <c r="H439" i="6" a="1"/>
  <c r="H439" i="6" s="1"/>
  <c r="J439" i="6" s="1" a="1"/>
  <c r="J439" i="6" s="1"/>
  <c r="G439" i="6" a="1"/>
  <c r="G439" i="6" s="1"/>
  <c r="G272" i="6" a="1"/>
  <c r="G272" i="6" s="1"/>
  <c r="H272" i="6" s="1" a="1"/>
  <c r="H272" i="6" s="1"/>
  <c r="G292" i="6" a="1"/>
  <c r="G292" i="6" s="1"/>
  <c r="H292" i="6" s="1" a="1"/>
  <c r="H292" i="6" s="1"/>
  <c r="G145" i="6" a="1"/>
  <c r="G145" i="6" s="1"/>
  <c r="H145" i="6" s="1" a="1"/>
  <c r="H145" i="6" s="1"/>
  <c r="G66" i="6" a="1"/>
  <c r="G66" i="6" s="1"/>
  <c r="H66" i="6" s="1" a="1"/>
  <c r="H66" i="6" s="1"/>
  <c r="G30" i="6" a="1"/>
  <c r="G30" i="6" s="1"/>
  <c r="H30" i="6" s="1" a="1"/>
  <c r="H30" i="6" s="1"/>
  <c r="G456" i="6" a="1"/>
  <c r="G456" i="6" s="1"/>
  <c r="I456" i="6"/>
  <c r="H456" i="6" a="1"/>
  <c r="H456" i="6" s="1"/>
  <c r="J456" i="6" s="1" a="1"/>
  <c r="J456" i="6" s="1"/>
  <c r="G366" i="6" a="1"/>
  <c r="G366" i="6" s="1"/>
  <c r="H366" i="6" s="1" a="1"/>
  <c r="H366" i="6" s="1"/>
  <c r="G199" i="6" a="1"/>
  <c r="G199" i="6" s="1"/>
  <c r="H199" i="6" s="1" a="1"/>
  <c r="H199" i="6" s="1"/>
  <c r="G143" i="6" a="1"/>
  <c r="G143" i="6" s="1"/>
  <c r="H143" i="6" s="1" a="1"/>
  <c r="H143" i="6" s="1"/>
  <c r="I60" i="13"/>
  <c r="I262" i="6" l="1"/>
  <c r="Z59" i="13"/>
  <c r="G106" i="13"/>
  <c r="I105" i="13"/>
  <c r="J326" i="6" a="1"/>
  <c r="J326" i="6" s="1"/>
  <c r="K326" i="6" a="1"/>
  <c r="K326" i="6" s="1"/>
  <c r="J247" i="6" a="1"/>
  <c r="J247" i="6" s="1"/>
  <c r="K247" i="6" a="1"/>
  <c r="K247" i="6" s="1"/>
  <c r="J200" i="6" a="1"/>
  <c r="J200" i="6" s="1"/>
  <c r="K200" i="6" a="1"/>
  <c r="K200" i="6" s="1"/>
  <c r="J243" i="6" a="1"/>
  <c r="J243" i="6" s="1"/>
  <c r="K243" i="6" a="1"/>
  <c r="K243" i="6" s="1"/>
  <c r="J344" i="6" a="1"/>
  <c r="J344" i="6" s="1"/>
  <c r="K344" i="6" a="1"/>
  <c r="K344" i="6" s="1"/>
  <c r="J191" i="6" a="1"/>
  <c r="J191" i="6" s="1"/>
  <c r="K191" i="6" a="1"/>
  <c r="K191" i="6" s="1"/>
  <c r="J241" i="6" a="1"/>
  <c r="J241" i="6" s="1"/>
  <c r="K241" i="6" a="1"/>
  <c r="K241" i="6" s="1"/>
  <c r="J351" i="6" a="1"/>
  <c r="J351" i="6" s="1"/>
  <c r="K351" i="6" a="1"/>
  <c r="K351" i="6" s="1"/>
  <c r="J267" i="6" a="1"/>
  <c r="J267" i="6" s="1"/>
  <c r="K267" i="6" a="1"/>
  <c r="K267" i="6" s="1"/>
  <c r="J307" i="6" a="1"/>
  <c r="J307" i="6" s="1"/>
  <c r="K307" i="6" a="1"/>
  <c r="K307" i="6" s="1"/>
  <c r="J277" i="6" a="1"/>
  <c r="J277" i="6" s="1"/>
  <c r="K277" i="6" a="1"/>
  <c r="K277" i="6" s="1"/>
  <c r="J196" i="6" a="1"/>
  <c r="J196" i="6" s="1"/>
  <c r="K196" i="6" a="1"/>
  <c r="K196" i="6" s="1"/>
  <c r="J223" i="6" a="1"/>
  <c r="J223" i="6" s="1"/>
  <c r="K223" i="6" a="1"/>
  <c r="K223" i="6" s="1"/>
  <c r="J244" i="6" a="1"/>
  <c r="J244" i="6" s="1"/>
  <c r="K244" i="6" a="1"/>
  <c r="K244" i="6" s="1"/>
  <c r="J347" i="6" a="1"/>
  <c r="J347" i="6" s="1"/>
  <c r="K347" i="6" a="1"/>
  <c r="K347" i="6" s="1"/>
  <c r="J218" i="6" a="1"/>
  <c r="J218" i="6" s="1"/>
  <c r="K218" i="6" a="1"/>
  <c r="K218" i="6" s="1"/>
  <c r="J260" i="6" a="1"/>
  <c r="J260" i="6" s="1"/>
  <c r="K260" i="6" a="1"/>
  <c r="K260" i="6" s="1"/>
  <c r="J197" i="6" a="1"/>
  <c r="J197" i="6" s="1"/>
  <c r="K197" i="6" a="1"/>
  <c r="K197" i="6" s="1"/>
  <c r="J275" i="6" a="1"/>
  <c r="J275" i="6" s="1"/>
  <c r="K275" i="6" a="1"/>
  <c r="K275" i="6" s="1"/>
  <c r="J224" i="6" a="1"/>
  <c r="J224" i="6" s="1"/>
  <c r="K224" i="6" a="1"/>
  <c r="K224" i="6" s="1"/>
  <c r="J288" i="6" a="1"/>
  <c r="J288" i="6" s="1"/>
  <c r="K288" i="6" a="1"/>
  <c r="K288" i="6" s="1"/>
  <c r="J324" i="6" a="1"/>
  <c r="J324" i="6" s="1"/>
  <c r="K324" i="6" a="1"/>
  <c r="K324" i="6" s="1"/>
  <c r="J363" i="6" a="1"/>
  <c r="J363" i="6" s="1"/>
  <c r="K363" i="6" a="1"/>
  <c r="K363" i="6" s="1"/>
  <c r="J206" i="6" a="1"/>
  <c r="J206" i="6" s="1"/>
  <c r="K206" i="6" a="1"/>
  <c r="K206" i="6" s="1"/>
  <c r="J253" i="6" a="1"/>
  <c r="J253" i="6" s="1"/>
  <c r="K253" i="6" a="1"/>
  <c r="K253" i="6" s="1"/>
  <c r="J305" i="6" a="1"/>
  <c r="J305" i="6" s="1"/>
  <c r="K305" i="6" a="1"/>
  <c r="K305" i="6" s="1"/>
  <c r="J355" i="6" a="1"/>
  <c r="J355" i="6" s="1"/>
  <c r="K355" i="6" a="1"/>
  <c r="K355" i="6" s="1"/>
  <c r="J240" i="6" a="1"/>
  <c r="J240" i="6" s="1"/>
  <c r="K240" i="6" a="1"/>
  <c r="K240" i="6" s="1"/>
  <c r="J362" i="6" a="1"/>
  <c r="J362" i="6" s="1"/>
  <c r="K362" i="6" a="1"/>
  <c r="K362" i="6" s="1"/>
  <c r="J215" i="6" a="1"/>
  <c r="J215" i="6" s="1"/>
  <c r="K215" i="6" a="1"/>
  <c r="K215" i="6" s="1"/>
  <c r="J310" i="6" a="1"/>
  <c r="J310" i="6" s="1"/>
  <c r="K310" i="6" a="1"/>
  <c r="K310" i="6" s="1"/>
  <c r="J230" i="6" a="1"/>
  <c r="J230" i="6" s="1"/>
  <c r="K230" i="6" a="1"/>
  <c r="K230" i="6" s="1"/>
  <c r="J289" i="6" a="1"/>
  <c r="J289" i="6" s="1"/>
  <c r="K289" i="6" a="1"/>
  <c r="K289" i="6" s="1"/>
  <c r="J308" i="6" a="1"/>
  <c r="J308" i="6" s="1"/>
  <c r="K308" i="6" a="1"/>
  <c r="K308" i="6" s="1"/>
  <c r="J312" i="6" a="1"/>
  <c r="J312" i="6" s="1"/>
  <c r="K312" i="6" a="1"/>
  <c r="K312" i="6" s="1"/>
  <c r="J295" i="6" a="1"/>
  <c r="J295" i="6" s="1"/>
  <c r="K295" i="6" a="1"/>
  <c r="K295" i="6" s="1"/>
  <c r="J259" i="6" a="1"/>
  <c r="J259" i="6" s="1"/>
  <c r="K259" i="6" a="1"/>
  <c r="K259" i="6" s="1"/>
  <c r="J354" i="6" a="1"/>
  <c r="J354" i="6" s="1"/>
  <c r="K354" i="6" a="1"/>
  <c r="K354" i="6" s="1"/>
  <c r="J216" i="6" a="1"/>
  <c r="J216" i="6" s="1"/>
  <c r="K216" i="6" a="1"/>
  <c r="K216" i="6" s="1"/>
  <c r="J284" i="6" a="1"/>
  <c r="J284" i="6" s="1"/>
  <c r="K284" i="6" a="1"/>
  <c r="K284" i="6" s="1"/>
  <c r="J273" i="6" a="1"/>
  <c r="J273" i="6" s="1"/>
  <c r="K273" i="6" a="1"/>
  <c r="K273" i="6" s="1"/>
  <c r="J269" i="6" a="1"/>
  <c r="J269" i="6" s="1"/>
  <c r="K269" i="6" a="1"/>
  <c r="K269" i="6" s="1"/>
  <c r="J272" i="6" a="1"/>
  <c r="J272" i="6" s="1"/>
  <c r="K272" i="6" a="1"/>
  <c r="K272" i="6" s="1"/>
  <c r="J353" i="6" a="1"/>
  <c r="J353" i="6" s="1"/>
  <c r="K353" i="6" a="1"/>
  <c r="K353" i="6" s="1"/>
  <c r="J229" i="6" a="1"/>
  <c r="J229" i="6" s="1"/>
  <c r="K229" i="6" a="1"/>
  <c r="K229" i="6" s="1"/>
  <c r="J332" i="6" a="1"/>
  <c r="J332" i="6" s="1"/>
  <c r="K332" i="6" a="1"/>
  <c r="K332" i="6" s="1"/>
  <c r="J317" i="6" a="1"/>
  <c r="J317" i="6" s="1"/>
  <c r="K317" i="6" a="1"/>
  <c r="K317" i="6" s="1"/>
  <c r="J265" i="6" a="1"/>
  <c r="J265" i="6" s="1"/>
  <c r="K265" i="6" a="1"/>
  <c r="K265" i="6" s="1"/>
  <c r="J245" i="6" a="1"/>
  <c r="J245" i="6" s="1"/>
  <c r="K245" i="6" a="1"/>
  <c r="K245" i="6" s="1"/>
  <c r="J195" i="6" a="1"/>
  <c r="J195" i="6" s="1"/>
  <c r="K195" i="6" a="1"/>
  <c r="K195" i="6" s="1"/>
  <c r="J302" i="6" a="1"/>
  <c r="J302" i="6" s="1"/>
  <c r="K302" i="6" a="1"/>
  <c r="K302" i="6" s="1"/>
  <c r="J364" i="6" a="1"/>
  <c r="J364" i="6" s="1"/>
  <c r="K364" i="6" a="1"/>
  <c r="K364" i="6" s="1"/>
  <c r="J356" i="6" a="1"/>
  <c r="J356" i="6" s="1"/>
  <c r="K356" i="6" a="1"/>
  <c r="K356" i="6" s="1"/>
  <c r="J228" i="6" a="1"/>
  <c r="J228" i="6" s="1"/>
  <c r="K228" i="6" a="1"/>
  <c r="K228" i="6" s="1"/>
  <c r="J208" i="6" a="1"/>
  <c r="J208" i="6" s="1"/>
  <c r="K208" i="6" a="1"/>
  <c r="K208" i="6" s="1"/>
  <c r="J187" i="6" a="1"/>
  <c r="J187" i="6" s="1"/>
  <c r="K187" i="6" a="1"/>
  <c r="K187" i="6" s="1"/>
  <c r="J190" i="6" a="1"/>
  <c r="J190" i="6" s="1"/>
  <c r="K190" i="6" a="1"/>
  <c r="K190" i="6" s="1"/>
  <c r="J258" i="6" a="1"/>
  <c r="J258" i="6" s="1"/>
  <c r="K258" i="6" a="1"/>
  <c r="K258" i="6" s="1"/>
  <c r="J242" i="6" a="1"/>
  <c r="J242" i="6" s="1"/>
  <c r="K242" i="6" a="1"/>
  <c r="K242" i="6" s="1"/>
  <c r="J231" i="6" a="1"/>
  <c r="J231" i="6" s="1"/>
  <c r="K231" i="6" a="1"/>
  <c r="K231" i="6" s="1"/>
  <c r="J270" i="6" a="1"/>
  <c r="J270" i="6" s="1"/>
  <c r="K270" i="6" a="1"/>
  <c r="K270" i="6" s="1"/>
  <c r="J192" i="6" a="1"/>
  <c r="J192" i="6" s="1"/>
  <c r="K192" i="6" a="1"/>
  <c r="K192" i="6" s="1"/>
  <c r="J291" i="6" a="1"/>
  <c r="J291" i="6" s="1"/>
  <c r="K291" i="6" a="1"/>
  <c r="K291" i="6" s="1"/>
  <c r="J283" i="6" a="1"/>
  <c r="J283" i="6" s="1"/>
  <c r="K283" i="6" a="1"/>
  <c r="K283" i="6" s="1"/>
  <c r="J282" i="6" a="1"/>
  <c r="J282" i="6" s="1"/>
  <c r="K282" i="6" a="1"/>
  <c r="K282" i="6" s="1"/>
  <c r="J209" i="6" a="1"/>
  <c r="J209" i="6" s="1"/>
  <c r="K209" i="6" a="1"/>
  <c r="K209" i="6" s="1"/>
  <c r="J222" i="6" a="1"/>
  <c r="J222" i="6" s="1"/>
  <c r="K222" i="6" a="1"/>
  <c r="K222" i="6" s="1"/>
  <c r="J280" i="6" a="1"/>
  <c r="J280" i="6" s="1"/>
  <c r="K280" i="6" a="1"/>
  <c r="K280" i="6" s="1"/>
  <c r="J202" i="6" a="1"/>
  <c r="J202" i="6" s="1"/>
  <c r="K202" i="6" a="1"/>
  <c r="K202" i="6" s="1"/>
  <c r="J296" i="6" a="1"/>
  <c r="J296" i="6" s="1"/>
  <c r="K296" i="6" a="1"/>
  <c r="K296" i="6" s="1"/>
  <c r="J287" i="6" a="1"/>
  <c r="J287" i="6" s="1"/>
  <c r="K287" i="6" a="1"/>
  <c r="K287" i="6" s="1"/>
  <c r="J290" i="6" a="1"/>
  <c r="J290" i="6" s="1"/>
  <c r="K290" i="6" a="1"/>
  <c r="K290" i="6" s="1"/>
  <c r="J323" i="6" a="1"/>
  <c r="J323" i="6" s="1"/>
  <c r="K323" i="6" a="1"/>
  <c r="K323" i="6" s="1"/>
  <c r="J340" i="6" a="1"/>
  <c r="J340" i="6" s="1"/>
  <c r="K340" i="6" a="1"/>
  <c r="K340" i="6" s="1"/>
  <c r="J276" i="6" a="1"/>
  <c r="J276" i="6" s="1"/>
  <c r="K276" i="6" a="1"/>
  <c r="K276" i="6" s="1"/>
  <c r="J343" i="6" a="1"/>
  <c r="J343" i="6" s="1"/>
  <c r="K343" i="6" a="1"/>
  <c r="K343" i="6" s="1"/>
  <c r="J235" i="6" a="1"/>
  <c r="J235" i="6" s="1"/>
  <c r="K235" i="6" a="1"/>
  <c r="K235" i="6" s="1"/>
  <c r="J329" i="6" a="1"/>
  <c r="J329" i="6" s="1"/>
  <c r="K329" i="6" a="1"/>
  <c r="K329" i="6" s="1"/>
  <c r="J292" i="6" a="1"/>
  <c r="J292" i="6" s="1"/>
  <c r="K292" i="6" a="1"/>
  <c r="K292" i="6" s="1"/>
  <c r="J261" i="6" a="1"/>
  <c r="J261" i="6" s="1"/>
  <c r="K261" i="6" a="1"/>
  <c r="K261" i="6" s="1"/>
  <c r="J330" i="6" a="1"/>
  <c r="J330" i="6" s="1"/>
  <c r="K330" i="6" a="1"/>
  <c r="K330" i="6" s="1"/>
  <c r="J349" i="6" a="1"/>
  <c r="J349" i="6" s="1"/>
  <c r="K349" i="6" a="1"/>
  <c r="K349" i="6" s="1"/>
  <c r="J366" i="6" a="1"/>
  <c r="J366" i="6" s="1"/>
  <c r="K366" i="6" a="1"/>
  <c r="K366" i="6" s="1"/>
  <c r="J264" i="6" a="1"/>
  <c r="J264" i="6" s="1"/>
  <c r="K264" i="6" a="1"/>
  <c r="K264" i="6" s="1"/>
  <c r="J236" i="6" a="1"/>
  <c r="J236" i="6" s="1"/>
  <c r="K236" i="6" a="1"/>
  <c r="K236" i="6" s="1"/>
  <c r="J211" i="6" a="1"/>
  <c r="J211" i="6" s="1"/>
  <c r="K211" i="6" a="1"/>
  <c r="K211" i="6" s="1"/>
  <c r="J279" i="6" a="1"/>
  <c r="J279" i="6" s="1"/>
  <c r="K279" i="6" a="1"/>
  <c r="K279" i="6" s="1"/>
  <c r="J255" i="6" a="1"/>
  <c r="J255" i="6" s="1"/>
  <c r="K255" i="6" a="1"/>
  <c r="K255" i="6" s="1"/>
  <c r="J251" i="6" a="1"/>
  <c r="J251" i="6" s="1"/>
  <c r="K251" i="6" a="1"/>
  <c r="K251" i="6" s="1"/>
  <c r="J210" i="6" a="1"/>
  <c r="J210" i="6" s="1"/>
  <c r="K210" i="6" a="1"/>
  <c r="K210" i="6" s="1"/>
  <c r="J201" i="6" a="1"/>
  <c r="J201" i="6" s="1"/>
  <c r="K201" i="6" a="1"/>
  <c r="K201" i="6" s="1"/>
  <c r="J311" i="6" a="1"/>
  <c r="J311" i="6" s="1"/>
  <c r="K311" i="6" a="1"/>
  <c r="K311" i="6" s="1"/>
  <c r="J233" i="6" a="1"/>
  <c r="J233" i="6" s="1"/>
  <c r="K233" i="6" a="1"/>
  <c r="K233" i="6" s="1"/>
  <c r="J297" i="6" a="1"/>
  <c r="J297" i="6" s="1"/>
  <c r="K297" i="6" a="1"/>
  <c r="K297" i="6" s="1"/>
  <c r="J256" i="6" a="1"/>
  <c r="J256" i="6" s="1"/>
  <c r="K256" i="6" a="1"/>
  <c r="K256" i="6" s="1"/>
  <c r="J268" i="6" a="1"/>
  <c r="J268" i="6" s="1"/>
  <c r="K268" i="6" a="1"/>
  <c r="K268" i="6" s="1"/>
  <c r="J341" i="6" a="1"/>
  <c r="J341" i="6" s="1"/>
  <c r="K341" i="6" a="1"/>
  <c r="K341" i="6" s="1"/>
  <c r="J299" i="6" a="1"/>
  <c r="J299" i="6" s="1"/>
  <c r="K299" i="6" a="1"/>
  <c r="K299" i="6" s="1"/>
  <c r="J238" i="6" a="1"/>
  <c r="J238" i="6" s="1"/>
  <c r="K238" i="6" a="1"/>
  <c r="K238" i="6" s="1"/>
  <c r="J232" i="6" a="1"/>
  <c r="J232" i="6" s="1"/>
  <c r="K232" i="6" a="1"/>
  <c r="K232" i="6" s="1"/>
  <c r="J257" i="6" a="1"/>
  <c r="J257" i="6" s="1"/>
  <c r="K257" i="6" a="1"/>
  <c r="K257" i="6" s="1"/>
  <c r="S101" i="13"/>
  <c r="J309" i="6" a="1"/>
  <c r="J309" i="6" s="1"/>
  <c r="K309" i="6" a="1"/>
  <c r="K309" i="6" s="1"/>
  <c r="J234" i="6" a="1"/>
  <c r="J234" i="6" s="1"/>
  <c r="K234" i="6" a="1"/>
  <c r="K234" i="6" s="1"/>
  <c r="J281" i="6" a="1"/>
  <c r="J281" i="6" s="1"/>
  <c r="K281" i="6" a="1"/>
  <c r="K281" i="6" s="1"/>
  <c r="J318" i="6" a="1"/>
  <c r="J318" i="6" s="1"/>
  <c r="K318" i="6" a="1"/>
  <c r="K318" i="6" s="1"/>
  <c r="J342" i="6" a="1"/>
  <c r="J342" i="6" s="1"/>
  <c r="K342" i="6" a="1"/>
  <c r="K342" i="6" s="1"/>
  <c r="J207" i="6" a="1"/>
  <c r="J207" i="6" s="1"/>
  <c r="K207" i="6" a="1"/>
  <c r="K207" i="6" s="1"/>
  <c r="I207" i="6" s="1"/>
  <c r="J313" i="6" a="1"/>
  <c r="J313" i="6" s="1"/>
  <c r="K313" i="6" a="1"/>
  <c r="K313" i="6" s="1"/>
  <c r="J266" i="6" a="1"/>
  <c r="J266" i="6" s="1"/>
  <c r="K266" i="6" a="1"/>
  <c r="K266" i="6" s="1"/>
  <c r="J199" i="6" a="1"/>
  <c r="J199" i="6" s="1"/>
  <c r="K199" i="6" a="1"/>
  <c r="K199" i="6" s="1"/>
  <c r="J188" i="6" a="1"/>
  <c r="J188" i="6" s="1"/>
  <c r="K188" i="6" a="1"/>
  <c r="K188" i="6" s="1"/>
  <c r="J213" i="6" a="1"/>
  <c r="J213" i="6" s="1"/>
  <c r="K213" i="6" a="1"/>
  <c r="K213" i="6" s="1"/>
  <c r="J293" i="6" a="1"/>
  <c r="J293" i="6" s="1"/>
  <c r="K293" i="6" a="1"/>
  <c r="K293" i="6" s="1"/>
  <c r="J214" i="6" a="1"/>
  <c r="J214" i="6" s="1"/>
  <c r="K214" i="6" a="1"/>
  <c r="K214" i="6" s="1"/>
  <c r="J335" i="6" a="1"/>
  <c r="J335" i="6" s="1"/>
  <c r="K335" i="6" a="1"/>
  <c r="K335" i="6" s="1"/>
  <c r="J322" i="6" a="1"/>
  <c r="J322" i="6" s="1"/>
  <c r="K322" i="6" a="1"/>
  <c r="K322" i="6" s="1"/>
  <c r="J321" i="6" a="1"/>
  <c r="J321" i="6" s="1"/>
  <c r="K321" i="6" a="1"/>
  <c r="K321" i="6" s="1"/>
  <c r="J204" i="6" a="1"/>
  <c r="J204" i="6" s="1"/>
  <c r="K204" i="6" a="1"/>
  <c r="K204" i="6" s="1"/>
  <c r="J203" i="6" a="1"/>
  <c r="J203" i="6" s="1"/>
  <c r="K203" i="6" a="1"/>
  <c r="K203" i="6" s="1"/>
  <c r="I203" i="6" s="1"/>
  <c r="J221" i="6" a="1"/>
  <c r="J221" i="6" s="1"/>
  <c r="K221" i="6" a="1"/>
  <c r="K221" i="6" s="1"/>
  <c r="J365" i="6" a="1"/>
  <c r="J365" i="6" s="1"/>
  <c r="K365" i="6" a="1"/>
  <c r="K365" i="6" s="1"/>
  <c r="J278" i="6" a="1"/>
  <c r="J278" i="6" s="1"/>
  <c r="K278" i="6" a="1"/>
  <c r="K278" i="6" s="1"/>
  <c r="J325" i="6" a="1"/>
  <c r="J325" i="6" s="1"/>
  <c r="K325" i="6" a="1"/>
  <c r="K325" i="6" s="1"/>
  <c r="J301" i="6" a="1"/>
  <c r="J301" i="6" s="1"/>
  <c r="K301" i="6" a="1"/>
  <c r="K301" i="6" s="1"/>
  <c r="J348" i="6" a="1"/>
  <c r="J348" i="6" s="1"/>
  <c r="K348" i="6" a="1"/>
  <c r="K348" i="6" s="1"/>
  <c r="I348" i="6" s="1"/>
  <c r="J336" i="6" a="1"/>
  <c r="J336" i="6" s="1"/>
  <c r="K336" i="6" a="1"/>
  <c r="K336" i="6" s="1"/>
  <c r="J198" i="6" a="1"/>
  <c r="J198" i="6" s="1"/>
  <c r="K198" i="6" a="1"/>
  <c r="K198" i="6" s="1"/>
  <c r="J359" i="6" a="1"/>
  <c r="J359" i="6" s="1"/>
  <c r="K359" i="6" a="1"/>
  <c r="K359" i="6" s="1"/>
  <c r="J314" i="6" a="1"/>
  <c r="J314" i="6" s="1"/>
  <c r="K314" i="6" a="1"/>
  <c r="K314" i="6" s="1"/>
  <c r="J337" i="6" a="1"/>
  <c r="J337" i="6" s="1"/>
  <c r="K337" i="6" a="1"/>
  <c r="K337" i="6" s="1"/>
  <c r="J248" i="6" a="1"/>
  <c r="J248" i="6" s="1"/>
  <c r="K248" i="6" a="1"/>
  <c r="K248" i="6" s="1"/>
  <c r="J338" i="6" a="1"/>
  <c r="J338" i="6" s="1"/>
  <c r="K338" i="6" a="1"/>
  <c r="K338" i="6" s="1"/>
  <c r="J331" i="6" a="1"/>
  <c r="J331" i="6" s="1"/>
  <c r="K331" i="6" a="1"/>
  <c r="K331" i="6" s="1"/>
  <c r="J358" i="6" a="1"/>
  <c r="J358" i="6" s="1"/>
  <c r="K358" i="6" a="1"/>
  <c r="K358" i="6" s="1"/>
  <c r="J303" i="6" a="1"/>
  <c r="J303" i="6" s="1"/>
  <c r="K303" i="6" a="1"/>
  <c r="K303" i="6" s="1"/>
  <c r="J294" i="6" a="1"/>
  <c r="J294" i="6" s="1"/>
  <c r="K294" i="6" a="1"/>
  <c r="K294" i="6" s="1"/>
  <c r="J217" i="6" a="1"/>
  <c r="J217" i="6" s="1"/>
  <c r="K217" i="6" a="1"/>
  <c r="K217" i="6" s="1"/>
  <c r="J193" i="6" a="1"/>
  <c r="J193" i="6" s="1"/>
  <c r="K193" i="6" a="1"/>
  <c r="K193" i="6" s="1"/>
  <c r="J360" i="6" a="1"/>
  <c r="J360" i="6" s="1"/>
  <c r="K360" i="6" a="1"/>
  <c r="K360" i="6" s="1"/>
  <c r="J249" i="6" a="1"/>
  <c r="J249" i="6" s="1"/>
  <c r="K249" i="6" a="1"/>
  <c r="K249" i="6" s="1"/>
  <c r="J304" i="6" a="1"/>
  <c r="J304" i="6" s="1"/>
  <c r="K304" i="6" a="1"/>
  <c r="K304" i="6" s="1"/>
  <c r="J205" i="6" a="1"/>
  <c r="J205" i="6" s="1"/>
  <c r="K205" i="6" a="1"/>
  <c r="K205" i="6" s="1"/>
  <c r="J334" i="6" a="1"/>
  <c r="J334" i="6" s="1"/>
  <c r="K334" i="6" a="1"/>
  <c r="K334" i="6" s="1"/>
  <c r="J274" i="6" a="1"/>
  <c r="J274" i="6" s="1"/>
  <c r="K274" i="6" a="1"/>
  <c r="K274" i="6" s="1"/>
  <c r="J271" i="6" a="1"/>
  <c r="J271" i="6" s="1"/>
  <c r="K271" i="6" a="1"/>
  <c r="K271" i="6" s="1"/>
  <c r="J220" i="6" a="1"/>
  <c r="J220" i="6" s="1"/>
  <c r="K220" i="6" a="1"/>
  <c r="K220" i="6" s="1"/>
  <c r="J320" i="6" a="1"/>
  <c r="J320" i="6" s="1"/>
  <c r="K320" i="6" a="1"/>
  <c r="K320" i="6" s="1"/>
  <c r="J352" i="6" a="1"/>
  <c r="J352" i="6" s="1"/>
  <c r="K352" i="6" a="1"/>
  <c r="K352" i="6" s="1"/>
  <c r="J298" i="6" a="1"/>
  <c r="J298" i="6" s="1"/>
  <c r="K298" i="6" a="1"/>
  <c r="K298" i="6" s="1"/>
  <c r="J239" i="6" a="1"/>
  <c r="J239" i="6" s="1"/>
  <c r="K239" i="6" a="1"/>
  <c r="K239" i="6" s="1"/>
  <c r="J316" i="6" a="1"/>
  <c r="J316" i="6" s="1"/>
  <c r="K316" i="6" a="1"/>
  <c r="K316" i="6" s="1"/>
  <c r="J194" i="6" a="1"/>
  <c r="J194" i="6" s="1"/>
  <c r="K194" i="6" a="1"/>
  <c r="K194" i="6" s="1"/>
  <c r="J350" i="6" a="1"/>
  <c r="J350" i="6" s="1"/>
  <c r="K350" i="6" a="1"/>
  <c r="K350" i="6" s="1"/>
  <c r="J226" i="6" a="1"/>
  <c r="J226" i="6" s="1"/>
  <c r="K226" i="6" a="1"/>
  <c r="K226" i="6" s="1"/>
  <c r="J306" i="6" a="1"/>
  <c r="J306" i="6" s="1"/>
  <c r="K306" i="6" a="1"/>
  <c r="K306" i="6" s="1"/>
  <c r="J189" i="6" a="1"/>
  <c r="J189" i="6" s="1"/>
  <c r="K189" i="6" a="1"/>
  <c r="K189" i="6" s="1"/>
  <c r="J252" i="6" a="1"/>
  <c r="J252" i="6" s="1"/>
  <c r="K252" i="6" a="1"/>
  <c r="K252" i="6" s="1"/>
  <c r="J339" i="6" a="1"/>
  <c r="J339" i="6" s="1"/>
  <c r="K339" i="6" a="1"/>
  <c r="K339" i="6" s="1"/>
  <c r="J300" i="6" a="1"/>
  <c r="J300" i="6" s="1"/>
  <c r="K300" i="6" a="1"/>
  <c r="K300" i="6" s="1"/>
  <c r="J212" i="6" a="1"/>
  <c r="J212" i="6" s="1"/>
  <c r="K212" i="6" a="1"/>
  <c r="K212" i="6" s="1"/>
  <c r="J286" i="6" a="1"/>
  <c r="J286" i="6" s="1"/>
  <c r="K286" i="6" a="1"/>
  <c r="K286" i="6" s="1"/>
  <c r="J328" i="6" a="1"/>
  <c r="J328" i="6" s="1"/>
  <c r="K328" i="6" a="1"/>
  <c r="K328" i="6" s="1"/>
  <c r="J237" i="6" a="1"/>
  <c r="J237" i="6" s="1"/>
  <c r="K237" i="6" a="1"/>
  <c r="K237" i="6" s="1"/>
  <c r="J346" i="6" a="1"/>
  <c r="J346" i="6" s="1"/>
  <c r="K346" i="6" a="1"/>
  <c r="K346" i="6" s="1"/>
  <c r="J225" i="6" a="1"/>
  <c r="J225" i="6" s="1"/>
  <c r="K225" i="6" a="1"/>
  <c r="K225" i="6" s="1"/>
  <c r="J327" i="6" a="1"/>
  <c r="J327" i="6" s="1"/>
  <c r="K327" i="6" a="1"/>
  <c r="K327" i="6" s="1"/>
  <c r="J319" i="6" a="1"/>
  <c r="J319" i="6" s="1"/>
  <c r="K319" i="6" a="1"/>
  <c r="K319" i="6" s="1"/>
  <c r="J219" i="6" a="1"/>
  <c r="J219" i="6" s="1"/>
  <c r="K219" i="6" a="1"/>
  <c r="K219" i="6" s="1"/>
  <c r="J357" i="6" a="1"/>
  <c r="J357" i="6" s="1"/>
  <c r="K357" i="6" a="1"/>
  <c r="K357" i="6" s="1"/>
  <c r="J345" i="6" a="1"/>
  <c r="J345" i="6" s="1"/>
  <c r="K345" i="6" a="1"/>
  <c r="K345" i="6" s="1"/>
  <c r="J333" i="6" a="1"/>
  <c r="J333" i="6" s="1"/>
  <c r="K333" i="6" a="1"/>
  <c r="K333" i="6" s="1"/>
  <c r="J227" i="6" a="1"/>
  <c r="J227" i="6" s="1"/>
  <c r="K227" i="6" a="1"/>
  <c r="K227" i="6" s="1"/>
  <c r="J285" i="6" a="1"/>
  <c r="J285" i="6" s="1"/>
  <c r="K285" i="6" a="1"/>
  <c r="K285" i="6" s="1"/>
  <c r="J246" i="6" a="1"/>
  <c r="J246" i="6" s="1"/>
  <c r="K246" i="6" a="1"/>
  <c r="K246" i="6" s="1"/>
  <c r="J250" i="6" a="1"/>
  <c r="J250" i="6" s="1"/>
  <c r="K250" i="6" a="1"/>
  <c r="K250" i="6" s="1"/>
  <c r="J315" i="6" a="1"/>
  <c r="J315" i="6" s="1"/>
  <c r="K315" i="6" a="1"/>
  <c r="K315" i="6" s="1"/>
  <c r="J361" i="6" a="1"/>
  <c r="J361" i="6" s="1"/>
  <c r="K361" i="6" a="1"/>
  <c r="K361" i="6" s="1"/>
  <c r="J263" i="6" a="1"/>
  <c r="J263" i="6" s="1"/>
  <c r="K263" i="6" a="1"/>
  <c r="K263" i="6" s="1"/>
  <c r="J254" i="6" a="1"/>
  <c r="J254" i="6" s="1"/>
  <c r="K254" i="6" a="1"/>
  <c r="K254" i="6" s="1"/>
  <c r="S85" i="13"/>
  <c r="I125" i="6"/>
  <c r="S100" i="13"/>
  <c r="S94" i="13"/>
  <c r="S88" i="13"/>
  <c r="I17" i="6"/>
  <c r="S86" i="13"/>
  <c r="S96" i="13"/>
  <c r="S95" i="13"/>
  <c r="S87" i="13"/>
  <c r="S92" i="13"/>
  <c r="S89" i="13"/>
  <c r="S102" i="13"/>
  <c r="S93" i="13"/>
  <c r="S90" i="13"/>
  <c r="AI127" i="13" a="1"/>
  <c r="AI127" i="13" s="1"/>
  <c r="AI124" i="13" a="1"/>
  <c r="AI124" i="13" s="1"/>
  <c r="AI135" i="13" a="1"/>
  <c r="AI135" i="13" s="1"/>
  <c r="AI137" i="13" a="1"/>
  <c r="AI137" i="13" s="1"/>
  <c r="AI147" i="13" a="1"/>
  <c r="AI147" i="13" s="1"/>
  <c r="AI148" i="13" a="1"/>
  <c r="AI148" i="13" s="1"/>
  <c r="AI115" i="13" a="1"/>
  <c r="AI115" i="13" s="1"/>
  <c r="AI126" i="13" a="1"/>
  <c r="AI126" i="13" s="1"/>
  <c r="AI132" i="13" a="1"/>
  <c r="AI132" i="13" s="1"/>
  <c r="AI119" i="13" a="1"/>
  <c r="AI119" i="13" s="1"/>
  <c r="AI140" i="13" a="1"/>
  <c r="AI140" i="13" s="1"/>
  <c r="AI134" i="13" a="1"/>
  <c r="AI134" i="13" s="1"/>
  <c r="AI133" i="13" a="1"/>
  <c r="AI133" i="13" s="1"/>
  <c r="AI141" i="13" a="1"/>
  <c r="AI141" i="13" s="1"/>
  <c r="AI152" i="13" a="1"/>
  <c r="AI152" i="13" s="1"/>
  <c r="AI146" i="13" a="1"/>
  <c r="AI146" i="13" s="1"/>
  <c r="AI130" i="13" a="1"/>
  <c r="AI130" i="13" s="1"/>
  <c r="AI143" i="13" a="1"/>
  <c r="AI143" i="13" s="1"/>
  <c r="AI123" i="13" a="1"/>
  <c r="AI123" i="13" s="1"/>
  <c r="AI129" i="13" a="1"/>
  <c r="AI129" i="13" s="1"/>
  <c r="AI125" i="13" a="1"/>
  <c r="AI125" i="13" s="1"/>
  <c r="AI153" i="13" a="1"/>
  <c r="AI153" i="13" s="1"/>
  <c r="AI121" i="13" a="1"/>
  <c r="AI121" i="13" s="1"/>
  <c r="AI150" i="13" a="1"/>
  <c r="AI150" i="13" s="1"/>
  <c r="AI149" i="13" a="1"/>
  <c r="AI149" i="13" s="1"/>
  <c r="AI122" i="13" a="1"/>
  <c r="AI122" i="13" s="1"/>
  <c r="AI144" i="13" a="1"/>
  <c r="AI144" i="13" s="1"/>
  <c r="AI120" i="13" a="1"/>
  <c r="AI120" i="13" s="1"/>
  <c r="AI118" i="13" a="1"/>
  <c r="AI118" i="13" s="1"/>
  <c r="AI114" i="13" a="1"/>
  <c r="AI114" i="13" s="1"/>
  <c r="AI117" i="13" a="1"/>
  <c r="AI117" i="13" s="1"/>
  <c r="AI142" i="13" a="1"/>
  <c r="AI142" i="13" s="1"/>
  <c r="AI151" i="13" a="1"/>
  <c r="AI151" i="13" s="1"/>
  <c r="AI145" i="13" a="1"/>
  <c r="AI145" i="13" s="1"/>
  <c r="AI131" i="13" a="1"/>
  <c r="AI131" i="13" s="1"/>
  <c r="AI136" i="13" a="1"/>
  <c r="AI136" i="13" s="1"/>
  <c r="AI139" i="13" a="1"/>
  <c r="AI139" i="13" s="1"/>
  <c r="AI128" i="13" a="1"/>
  <c r="AI128" i="13" s="1"/>
  <c r="AI116" i="13" a="1"/>
  <c r="AI116" i="13" s="1"/>
  <c r="AI138" i="13" a="1"/>
  <c r="AI138" i="13" s="1"/>
  <c r="S97" i="13"/>
  <c r="S99" i="13"/>
  <c r="S103" i="13"/>
  <c r="S91" i="13"/>
  <c r="S104" i="13"/>
  <c r="Y104" i="13" s="1"/>
  <c r="S98" i="13"/>
  <c r="I77" i="6"/>
  <c r="B26" i="6"/>
  <c r="M53" i="13"/>
  <c r="AH53" i="13" s="1"/>
  <c r="C62" i="4"/>
  <c r="C74" i="4" s="1"/>
  <c r="C80" i="4" s="1"/>
  <c r="N17" i="4" a="1"/>
  <c r="N17" i="4" s="1"/>
  <c r="J94" i="6" a="1"/>
  <c r="J94" i="6" s="1"/>
  <c r="K94" i="6" a="1"/>
  <c r="K94" i="6" s="1"/>
  <c r="J132" i="6" a="1"/>
  <c r="J132" i="6" s="1"/>
  <c r="K132" i="6" a="1"/>
  <c r="K132" i="6" s="1"/>
  <c r="J154" i="6" a="1"/>
  <c r="J154" i="6" s="1"/>
  <c r="K154" i="6" a="1"/>
  <c r="K154" i="6" s="1"/>
  <c r="J142" i="6" a="1"/>
  <c r="J142" i="6" s="1"/>
  <c r="K142" i="6" a="1"/>
  <c r="K142" i="6" s="1"/>
  <c r="J178" i="6" a="1"/>
  <c r="J178" i="6" s="1"/>
  <c r="K178" i="6" a="1"/>
  <c r="K178" i="6" s="1"/>
  <c r="J93" i="6" a="1"/>
  <c r="J93" i="6" s="1"/>
  <c r="K93" i="6" a="1"/>
  <c r="K93" i="6" s="1"/>
  <c r="J84" i="6" a="1"/>
  <c r="J84" i="6" s="1"/>
  <c r="K84" i="6" a="1"/>
  <c r="K84" i="6" s="1"/>
  <c r="J185" i="6" a="1"/>
  <c r="J185" i="6" s="1"/>
  <c r="K185" i="6" a="1"/>
  <c r="K185" i="6" s="1"/>
  <c r="J113" i="6" a="1"/>
  <c r="J113" i="6" s="1"/>
  <c r="K113" i="6" a="1"/>
  <c r="K113" i="6" s="1"/>
  <c r="J120" i="6" a="1"/>
  <c r="J120" i="6" s="1"/>
  <c r="K120" i="6" a="1"/>
  <c r="K120" i="6" s="1"/>
  <c r="J79" i="6" a="1"/>
  <c r="J79" i="6" s="1"/>
  <c r="K79" i="6" a="1"/>
  <c r="K79" i="6" s="1"/>
  <c r="J168" i="6" a="1"/>
  <c r="J168" i="6" s="1"/>
  <c r="K168" i="6" a="1"/>
  <c r="K168" i="6" s="1"/>
  <c r="J184" i="6" a="1"/>
  <c r="J184" i="6" s="1"/>
  <c r="K184" i="6" a="1"/>
  <c r="K184" i="6" s="1"/>
  <c r="J163" i="6" a="1"/>
  <c r="J163" i="6" s="1"/>
  <c r="K163" i="6" a="1"/>
  <c r="K163" i="6" s="1"/>
  <c r="J148" i="6" a="1"/>
  <c r="J148" i="6" s="1"/>
  <c r="K148" i="6" a="1"/>
  <c r="K148" i="6" s="1"/>
  <c r="J99" i="6" a="1"/>
  <c r="J99" i="6" s="1"/>
  <c r="K99" i="6" a="1"/>
  <c r="K99" i="6" s="1"/>
  <c r="J78" i="6" a="1"/>
  <c r="J78" i="6" s="1"/>
  <c r="K78" i="6" a="1"/>
  <c r="K78" i="6" s="1"/>
  <c r="J140" i="6" a="1"/>
  <c r="J140" i="6" s="1"/>
  <c r="K140" i="6" a="1"/>
  <c r="K140" i="6" s="1"/>
  <c r="J101" i="6" a="1"/>
  <c r="J101" i="6" s="1"/>
  <c r="K101" i="6" a="1"/>
  <c r="K101" i="6" s="1"/>
  <c r="J176" i="6" a="1"/>
  <c r="J176" i="6" s="1"/>
  <c r="K176" i="6" a="1"/>
  <c r="K176" i="6" s="1"/>
  <c r="J143" i="6" a="1"/>
  <c r="J143" i="6" s="1"/>
  <c r="K143" i="6" a="1"/>
  <c r="K143" i="6" s="1"/>
  <c r="J145" i="6" a="1"/>
  <c r="J145" i="6" s="1"/>
  <c r="K145" i="6" a="1"/>
  <c r="K145" i="6" s="1"/>
  <c r="J69" i="6" a="1"/>
  <c r="J69" i="6" s="1"/>
  <c r="K69" i="6" a="1"/>
  <c r="K69" i="6" s="1"/>
  <c r="J127" i="6" a="1"/>
  <c r="J127" i="6" s="1"/>
  <c r="K127" i="6" a="1"/>
  <c r="K127" i="6" s="1"/>
  <c r="J152" i="6" a="1"/>
  <c r="J152" i="6" s="1"/>
  <c r="K152" i="6" a="1"/>
  <c r="K152" i="6" s="1"/>
  <c r="J98" i="6" a="1"/>
  <c r="J98" i="6" s="1"/>
  <c r="K98" i="6" a="1"/>
  <c r="K98" i="6" s="1"/>
  <c r="J146" i="6" a="1"/>
  <c r="J146" i="6" s="1"/>
  <c r="K146" i="6" a="1"/>
  <c r="K146" i="6" s="1"/>
  <c r="J71" i="6" a="1"/>
  <c r="J71" i="6" s="1"/>
  <c r="K71" i="6" a="1"/>
  <c r="K71" i="6" s="1"/>
  <c r="J160" i="6" a="1"/>
  <c r="J160" i="6" s="1"/>
  <c r="K160" i="6" a="1"/>
  <c r="K160" i="6" s="1"/>
  <c r="J159" i="6" a="1"/>
  <c r="J159" i="6" s="1"/>
  <c r="K159" i="6" a="1"/>
  <c r="K159" i="6" s="1"/>
  <c r="J129" i="6" a="1"/>
  <c r="J129" i="6" s="1"/>
  <c r="K129" i="6" a="1"/>
  <c r="K129" i="6" s="1"/>
  <c r="J156" i="6" a="1"/>
  <c r="J156" i="6" s="1"/>
  <c r="K156" i="6" a="1"/>
  <c r="K156" i="6" s="1"/>
  <c r="J87" i="6" a="1"/>
  <c r="J87" i="6" s="1"/>
  <c r="K87" i="6" a="1"/>
  <c r="K87" i="6" s="1"/>
  <c r="J121" i="6" a="1"/>
  <c r="J121" i="6" s="1"/>
  <c r="K121" i="6" a="1"/>
  <c r="K121" i="6" s="1"/>
  <c r="J166" i="6" a="1"/>
  <c r="J166" i="6" s="1"/>
  <c r="K166" i="6" a="1"/>
  <c r="K166" i="6" s="1"/>
  <c r="J100" i="6" a="1"/>
  <c r="J100" i="6" s="1"/>
  <c r="K100" i="6" a="1"/>
  <c r="K100" i="6" s="1"/>
  <c r="J172" i="6" a="1"/>
  <c r="J172" i="6" s="1"/>
  <c r="K172" i="6" a="1"/>
  <c r="K172" i="6" s="1"/>
  <c r="J177" i="6" a="1"/>
  <c r="J177" i="6" s="1"/>
  <c r="K177" i="6" a="1"/>
  <c r="K177" i="6" s="1"/>
  <c r="J91" i="6" a="1"/>
  <c r="J91" i="6" s="1"/>
  <c r="K91" i="6" a="1"/>
  <c r="K91" i="6" s="1"/>
  <c r="J76" i="6" a="1"/>
  <c r="J76" i="6" s="1"/>
  <c r="K76" i="6" a="1"/>
  <c r="K76" i="6" s="1"/>
  <c r="J131" i="6" a="1"/>
  <c r="J131" i="6" s="1"/>
  <c r="K131" i="6" a="1"/>
  <c r="K131" i="6" s="1"/>
  <c r="J82" i="6" a="1"/>
  <c r="J82" i="6" s="1"/>
  <c r="K82" i="6" a="1"/>
  <c r="K82" i="6" s="1"/>
  <c r="J174" i="6" a="1"/>
  <c r="J174" i="6" s="1"/>
  <c r="K174" i="6" a="1"/>
  <c r="K174" i="6" s="1"/>
  <c r="J150" i="6" a="1"/>
  <c r="J150" i="6" s="1"/>
  <c r="K150" i="6" a="1"/>
  <c r="K150" i="6" s="1"/>
  <c r="J124" i="6" a="1"/>
  <c r="J124" i="6" s="1"/>
  <c r="K124" i="6" a="1"/>
  <c r="K124" i="6" s="1"/>
  <c r="J153" i="6" a="1"/>
  <c r="J153" i="6" s="1"/>
  <c r="K153" i="6" a="1"/>
  <c r="K153" i="6" s="1"/>
  <c r="J137" i="6" a="1"/>
  <c r="J137" i="6" s="1"/>
  <c r="K137" i="6" a="1"/>
  <c r="K137" i="6" s="1"/>
  <c r="J95" i="6" a="1"/>
  <c r="J95" i="6" s="1"/>
  <c r="K95" i="6" a="1"/>
  <c r="K95" i="6" s="1"/>
  <c r="J141" i="6" a="1"/>
  <c r="J141" i="6" s="1"/>
  <c r="K141" i="6" a="1"/>
  <c r="K141" i="6" s="1"/>
  <c r="J144" i="6" a="1"/>
  <c r="J144" i="6" s="1"/>
  <c r="K144" i="6" a="1"/>
  <c r="K144" i="6" s="1"/>
  <c r="J155" i="6" a="1"/>
  <c r="J155" i="6" s="1"/>
  <c r="K155" i="6" a="1"/>
  <c r="K155" i="6" s="1"/>
  <c r="J147" i="6" a="1"/>
  <c r="J147" i="6" s="1"/>
  <c r="K147" i="6" a="1"/>
  <c r="K147" i="6" s="1"/>
  <c r="J72" i="6" a="1"/>
  <c r="J72" i="6" s="1"/>
  <c r="K72" i="6" a="1"/>
  <c r="K72" i="6" s="1"/>
  <c r="J179" i="6" a="1"/>
  <c r="J179" i="6" s="1"/>
  <c r="K179" i="6" a="1"/>
  <c r="K179" i="6" s="1"/>
  <c r="J75" i="6" a="1"/>
  <c r="J75" i="6" s="1"/>
  <c r="K75" i="6" a="1"/>
  <c r="K75" i="6" s="1"/>
  <c r="J115" i="6" a="1"/>
  <c r="J115" i="6" s="1"/>
  <c r="K115" i="6" a="1"/>
  <c r="K115" i="6" s="1"/>
  <c r="J67" i="6" a="1"/>
  <c r="J67" i="6" s="1"/>
  <c r="K67" i="6" a="1"/>
  <c r="K67" i="6" s="1"/>
  <c r="J112" i="6" a="1"/>
  <c r="J112" i="6" s="1"/>
  <c r="K112" i="6" a="1"/>
  <c r="K112" i="6" s="1"/>
  <c r="J167" i="6" a="1"/>
  <c r="J167" i="6" s="1"/>
  <c r="K167" i="6" a="1"/>
  <c r="K167" i="6" s="1"/>
  <c r="J102" i="6" a="1"/>
  <c r="J102" i="6" s="1"/>
  <c r="K102" i="6" a="1"/>
  <c r="K102" i="6" s="1"/>
  <c r="J118" i="6" a="1"/>
  <c r="J118" i="6" s="1"/>
  <c r="K118" i="6" a="1"/>
  <c r="K118" i="6" s="1"/>
  <c r="J151" i="6" a="1"/>
  <c r="J151" i="6" s="1"/>
  <c r="K151" i="6" a="1"/>
  <c r="K151" i="6" s="1"/>
  <c r="J97" i="6" a="1"/>
  <c r="J97" i="6" s="1"/>
  <c r="K97" i="6" a="1"/>
  <c r="K97" i="6" s="1"/>
  <c r="J110" i="6" a="1"/>
  <c r="J110" i="6" s="1"/>
  <c r="K110" i="6" a="1"/>
  <c r="K110" i="6" s="1"/>
  <c r="J158" i="6" a="1"/>
  <c r="J158" i="6" s="1"/>
  <c r="K158" i="6" a="1"/>
  <c r="K158" i="6" s="1"/>
  <c r="J181" i="6" a="1"/>
  <c r="J181" i="6" s="1"/>
  <c r="K181" i="6" a="1"/>
  <c r="K181" i="6" s="1"/>
  <c r="J108" i="6" a="1"/>
  <c r="J108" i="6" s="1"/>
  <c r="K108" i="6" a="1"/>
  <c r="K108" i="6" s="1"/>
  <c r="J149" i="6" a="1"/>
  <c r="J149" i="6" s="1"/>
  <c r="K149" i="6" a="1"/>
  <c r="K149" i="6" s="1"/>
  <c r="J126" i="6" a="1"/>
  <c r="J126" i="6" s="1"/>
  <c r="K126" i="6" a="1"/>
  <c r="K126" i="6" s="1"/>
  <c r="J164" i="6" a="1"/>
  <c r="J164" i="6" s="1"/>
  <c r="K164" i="6" a="1"/>
  <c r="K164" i="6" s="1"/>
  <c r="J86" i="6" a="1"/>
  <c r="J86" i="6" s="1"/>
  <c r="K86" i="6" a="1"/>
  <c r="K86" i="6" s="1"/>
  <c r="J135" i="6" a="1"/>
  <c r="J135" i="6" s="1"/>
  <c r="K135" i="6" a="1"/>
  <c r="K135" i="6" s="1"/>
  <c r="J81" i="6" a="1"/>
  <c r="J81" i="6" s="1"/>
  <c r="K81" i="6" a="1"/>
  <c r="K81" i="6" s="1"/>
  <c r="J119" i="6" a="1"/>
  <c r="J119" i="6" s="1"/>
  <c r="K119" i="6" a="1"/>
  <c r="K119" i="6" s="1"/>
  <c r="J170" i="6" a="1"/>
  <c r="J170" i="6" s="1"/>
  <c r="K170" i="6" a="1"/>
  <c r="K170" i="6" s="1"/>
  <c r="J74" i="6" a="1"/>
  <c r="J74" i="6" s="1"/>
  <c r="K74" i="6" a="1"/>
  <c r="K74" i="6" s="1"/>
  <c r="J165" i="6" a="1"/>
  <c r="J165" i="6" s="1"/>
  <c r="K165" i="6" a="1"/>
  <c r="K165" i="6" s="1"/>
  <c r="J123" i="6" a="1"/>
  <c r="J123" i="6" s="1"/>
  <c r="K123" i="6" a="1"/>
  <c r="K123" i="6" s="1"/>
  <c r="J104" i="6" a="1"/>
  <c r="J104" i="6" s="1"/>
  <c r="K104" i="6" a="1"/>
  <c r="K104" i="6" s="1"/>
  <c r="J73" i="6" a="1"/>
  <c r="J73" i="6" s="1"/>
  <c r="K73" i="6" a="1"/>
  <c r="K73" i="6" s="1"/>
  <c r="J103" i="6" a="1"/>
  <c r="J103" i="6" s="1"/>
  <c r="K103" i="6" a="1"/>
  <c r="K103" i="6" s="1"/>
  <c r="J116" i="6" a="1"/>
  <c r="J116" i="6" s="1"/>
  <c r="K116" i="6" a="1"/>
  <c r="K116" i="6" s="1"/>
  <c r="J139" i="6" a="1"/>
  <c r="J139" i="6" s="1"/>
  <c r="K139" i="6" a="1"/>
  <c r="K139" i="6" s="1"/>
  <c r="J175" i="6" a="1"/>
  <c r="J175" i="6" s="1"/>
  <c r="K175" i="6" a="1"/>
  <c r="K175" i="6" s="1"/>
  <c r="J128" i="6" a="1"/>
  <c r="J128" i="6" s="1"/>
  <c r="K128" i="6" a="1"/>
  <c r="K128" i="6" s="1"/>
  <c r="J182" i="6" a="1"/>
  <c r="J182" i="6" s="1"/>
  <c r="K182" i="6" a="1"/>
  <c r="K182" i="6" s="1"/>
  <c r="J106" i="6" a="1"/>
  <c r="J106" i="6" s="1"/>
  <c r="K106" i="6" a="1"/>
  <c r="K106" i="6" s="1"/>
  <c r="J111" i="6" a="1"/>
  <c r="J111" i="6" s="1"/>
  <c r="K111" i="6" a="1"/>
  <c r="K111" i="6" s="1"/>
  <c r="J80" i="6" a="1"/>
  <c r="J80" i="6" s="1"/>
  <c r="K80" i="6" a="1"/>
  <c r="K80" i="6" s="1"/>
  <c r="J109" i="6" a="1"/>
  <c r="J109" i="6" s="1"/>
  <c r="K109" i="6" a="1"/>
  <c r="K109" i="6" s="1"/>
  <c r="J133" i="6" a="1"/>
  <c r="J133" i="6" s="1"/>
  <c r="K133" i="6" a="1"/>
  <c r="K133" i="6" s="1"/>
  <c r="J92" i="6" a="1"/>
  <c r="J92" i="6" s="1"/>
  <c r="K92" i="6" a="1"/>
  <c r="K92" i="6" s="1"/>
  <c r="J161" i="6" a="1"/>
  <c r="J161" i="6" s="1"/>
  <c r="K161" i="6" a="1"/>
  <c r="K161" i="6" s="1"/>
  <c r="J68" i="6" a="1"/>
  <c r="J68" i="6" s="1"/>
  <c r="K68" i="6" a="1"/>
  <c r="K68" i="6" s="1"/>
  <c r="J157" i="6" a="1"/>
  <c r="J157" i="6" s="1"/>
  <c r="K157" i="6" a="1"/>
  <c r="K157" i="6" s="1"/>
  <c r="J169" i="6" a="1"/>
  <c r="J169" i="6" s="1"/>
  <c r="K169" i="6" a="1"/>
  <c r="K169" i="6" s="1"/>
  <c r="J180" i="6" a="1"/>
  <c r="J180" i="6" s="1"/>
  <c r="K180" i="6" a="1"/>
  <c r="K180" i="6" s="1"/>
  <c r="J134" i="6" a="1"/>
  <c r="J134" i="6" s="1"/>
  <c r="K134" i="6" a="1"/>
  <c r="K134" i="6" s="1"/>
  <c r="J173" i="6" a="1"/>
  <c r="J173" i="6" s="1"/>
  <c r="K173" i="6" a="1"/>
  <c r="K173" i="6" s="1"/>
  <c r="J70" i="6" a="1"/>
  <c r="J70" i="6" s="1"/>
  <c r="K70" i="6" a="1"/>
  <c r="K70" i="6" s="1"/>
  <c r="J96" i="6" a="1"/>
  <c r="J96" i="6" s="1"/>
  <c r="K96" i="6" a="1"/>
  <c r="K96" i="6" s="1"/>
  <c r="I19" i="6"/>
  <c r="J89" i="6" a="1"/>
  <c r="J89" i="6" s="1"/>
  <c r="K89" i="6" a="1"/>
  <c r="K89" i="6" s="1"/>
  <c r="J88" i="6" a="1"/>
  <c r="J88" i="6" s="1"/>
  <c r="K88" i="6" a="1"/>
  <c r="K88" i="6" s="1"/>
  <c r="J105" i="6" a="1"/>
  <c r="J105" i="6" s="1"/>
  <c r="K105" i="6" a="1"/>
  <c r="K105" i="6" s="1"/>
  <c r="J85" i="6" a="1"/>
  <c r="J85" i="6" s="1"/>
  <c r="K85" i="6" a="1"/>
  <c r="K85" i="6" s="1"/>
  <c r="J171" i="6" a="1"/>
  <c r="J171" i="6" s="1"/>
  <c r="K171" i="6" a="1"/>
  <c r="K171" i="6" s="1"/>
  <c r="J114" i="6" a="1"/>
  <c r="J114" i="6" s="1"/>
  <c r="K114" i="6" a="1"/>
  <c r="K114" i="6" s="1"/>
  <c r="J90" i="6" a="1"/>
  <c r="J90" i="6" s="1"/>
  <c r="K90" i="6" a="1"/>
  <c r="K90" i="6" s="1"/>
  <c r="J130" i="6" a="1"/>
  <c r="J130" i="6" s="1"/>
  <c r="K130" i="6" a="1"/>
  <c r="K130" i="6" s="1"/>
  <c r="J117" i="6" a="1"/>
  <c r="J117" i="6" s="1"/>
  <c r="K117" i="6" a="1"/>
  <c r="K117" i="6" s="1"/>
  <c r="J107" i="6" a="1"/>
  <c r="J107" i="6" s="1"/>
  <c r="K107" i="6" a="1"/>
  <c r="K107" i="6" s="1"/>
  <c r="J162" i="6" a="1"/>
  <c r="J162" i="6" s="1"/>
  <c r="K162" i="6" a="1"/>
  <c r="K162" i="6" s="1"/>
  <c r="J186" i="6" a="1"/>
  <c r="J186" i="6" s="1"/>
  <c r="K186" i="6" a="1"/>
  <c r="K186" i="6" s="1"/>
  <c r="J136" i="6" a="1"/>
  <c r="J136" i="6" s="1"/>
  <c r="K136" i="6" a="1"/>
  <c r="K136" i="6" s="1"/>
  <c r="J183" i="6" a="1"/>
  <c r="J183" i="6" s="1"/>
  <c r="K183" i="6" a="1"/>
  <c r="K183" i="6" s="1"/>
  <c r="J138" i="6" a="1"/>
  <c r="J138" i="6" s="1"/>
  <c r="K138" i="6" a="1"/>
  <c r="K138" i="6" s="1"/>
  <c r="J122" i="6" a="1"/>
  <c r="J122" i="6" s="1"/>
  <c r="K122" i="6" a="1"/>
  <c r="K122" i="6" s="1"/>
  <c r="J13" i="6" a="1"/>
  <c r="J13" i="6" s="1"/>
  <c r="K13" i="6" a="1"/>
  <c r="K13" i="6" s="1"/>
  <c r="J8" i="6" a="1"/>
  <c r="J8" i="6" s="1"/>
  <c r="K8" i="6" a="1"/>
  <c r="K8" i="6" s="1"/>
  <c r="J29" i="6" a="1"/>
  <c r="J29" i="6" s="1"/>
  <c r="K29" i="6" a="1"/>
  <c r="K29" i="6" s="1"/>
  <c r="J47" i="6" a="1"/>
  <c r="J47" i="6" s="1"/>
  <c r="K47" i="6" a="1"/>
  <c r="K47" i="6" s="1"/>
  <c r="J31" i="6" a="1"/>
  <c r="J31" i="6" s="1"/>
  <c r="K31" i="6" a="1"/>
  <c r="K31" i="6" s="1"/>
  <c r="J44" i="6" a="1"/>
  <c r="J44" i="6" s="1"/>
  <c r="K44" i="6" a="1"/>
  <c r="K44" i="6" s="1"/>
  <c r="J49" i="6" a="1"/>
  <c r="J49" i="6" s="1"/>
  <c r="K49" i="6" a="1"/>
  <c r="K49" i="6" s="1"/>
  <c r="J11" i="6" a="1"/>
  <c r="J11" i="6" s="1"/>
  <c r="K11" i="6" a="1"/>
  <c r="K11" i="6" s="1"/>
  <c r="J42" i="6" a="1"/>
  <c r="J42" i="6" s="1"/>
  <c r="K42" i="6" a="1"/>
  <c r="K42" i="6" s="1"/>
  <c r="J37" i="6" a="1"/>
  <c r="J37" i="6" s="1"/>
  <c r="K37" i="6" a="1"/>
  <c r="K37" i="6" s="1"/>
  <c r="J24" i="6" a="1"/>
  <c r="J24" i="6" s="1"/>
  <c r="K24" i="6" a="1"/>
  <c r="K24" i="6" s="1"/>
  <c r="J52" i="6" a="1"/>
  <c r="J52" i="6" s="1"/>
  <c r="K52" i="6" a="1"/>
  <c r="K52" i="6" s="1"/>
  <c r="J23" i="6" a="1"/>
  <c r="J23" i="6" s="1"/>
  <c r="K23" i="6" a="1"/>
  <c r="K23" i="6" s="1"/>
  <c r="J25" i="6" a="1"/>
  <c r="J25" i="6" s="1"/>
  <c r="K25" i="6" a="1"/>
  <c r="K25" i="6" s="1"/>
  <c r="J62" i="6" a="1"/>
  <c r="J62" i="6" s="1"/>
  <c r="K62" i="6" a="1"/>
  <c r="K62" i="6" s="1"/>
  <c r="J14" i="6" a="1"/>
  <c r="J14" i="6" s="1"/>
  <c r="K14" i="6" a="1"/>
  <c r="K14" i="6" s="1"/>
  <c r="J12" i="6" a="1"/>
  <c r="J12" i="6" s="1"/>
  <c r="K12" i="6" a="1"/>
  <c r="K12" i="6" s="1"/>
  <c r="J16" i="6" a="1"/>
  <c r="J16" i="6" s="1"/>
  <c r="K16" i="6" a="1"/>
  <c r="K16" i="6" s="1"/>
  <c r="J63" i="6" a="1"/>
  <c r="J63" i="6" s="1"/>
  <c r="K63" i="6" a="1"/>
  <c r="K63" i="6" s="1"/>
  <c r="J35" i="6" a="1"/>
  <c r="J35" i="6" s="1"/>
  <c r="K35" i="6" a="1"/>
  <c r="K35" i="6" s="1"/>
  <c r="J33" i="6" a="1"/>
  <c r="J33" i="6" s="1"/>
  <c r="K33" i="6" a="1"/>
  <c r="K33" i="6" s="1"/>
  <c r="J59" i="6" a="1"/>
  <c r="J59" i="6" s="1"/>
  <c r="K59" i="6" a="1"/>
  <c r="K59" i="6" s="1"/>
  <c r="J30" i="6" a="1"/>
  <c r="J30" i="6" s="1"/>
  <c r="K30" i="6" a="1"/>
  <c r="K30" i="6" s="1"/>
  <c r="J53" i="6" a="1"/>
  <c r="J53" i="6" s="1"/>
  <c r="K53" i="6" a="1"/>
  <c r="K53" i="6" s="1"/>
  <c r="J20" i="6" a="1"/>
  <c r="J20" i="6" s="1"/>
  <c r="K20" i="6" a="1"/>
  <c r="K20" i="6" s="1"/>
  <c r="J61" i="6" a="1"/>
  <c r="J61" i="6" s="1"/>
  <c r="K61" i="6" a="1"/>
  <c r="K61" i="6" s="1"/>
  <c r="AQ68" i="4"/>
  <c r="AK68" i="4"/>
  <c r="AM68" i="4"/>
  <c r="J56" i="6" a="1"/>
  <c r="J56" i="6" s="1"/>
  <c r="K56" i="6" a="1"/>
  <c r="K56" i="6" s="1"/>
  <c r="J21" i="6" a="1"/>
  <c r="J21" i="6" s="1"/>
  <c r="K21" i="6" a="1"/>
  <c r="K21" i="6" s="1"/>
  <c r="BA68" i="4"/>
  <c r="J54" i="6" a="1"/>
  <c r="J54" i="6" s="1"/>
  <c r="K54" i="6" a="1"/>
  <c r="K54" i="6" s="1"/>
  <c r="AN68" i="4"/>
  <c r="AW68" i="4"/>
  <c r="AY68" i="4"/>
  <c r="J50" i="6" a="1"/>
  <c r="J50" i="6" s="1"/>
  <c r="K50" i="6" a="1"/>
  <c r="K50" i="6" s="1"/>
  <c r="J64" i="6" a="1"/>
  <c r="J64" i="6" s="1"/>
  <c r="K64" i="6" a="1"/>
  <c r="K64" i="6" s="1"/>
  <c r="J65" i="6" a="1"/>
  <c r="J65" i="6" s="1"/>
  <c r="K65" i="6" a="1"/>
  <c r="K65" i="6" s="1"/>
  <c r="AT68" i="4"/>
  <c r="J26" i="6" a="1"/>
  <c r="J26" i="6" s="1"/>
  <c r="K26" i="6" a="1"/>
  <c r="K26" i="6" s="1"/>
  <c r="I45" i="6"/>
  <c r="J34" i="6" a="1"/>
  <c r="J34" i="6" s="1"/>
  <c r="K34" i="6" a="1"/>
  <c r="K34" i="6" s="1"/>
  <c r="J51" i="6" a="1"/>
  <c r="J51" i="6" s="1"/>
  <c r="K51" i="6" a="1"/>
  <c r="K51" i="6" s="1"/>
  <c r="J60" i="6" a="1"/>
  <c r="J60" i="6" s="1"/>
  <c r="K60" i="6" a="1"/>
  <c r="K60" i="6" s="1"/>
  <c r="J15" i="6" a="1"/>
  <c r="J15" i="6" s="1"/>
  <c r="K15" i="6" a="1"/>
  <c r="K15" i="6" s="1"/>
  <c r="AJ68" i="4"/>
  <c r="J28" i="6" a="1"/>
  <c r="J28" i="6" s="1"/>
  <c r="K28" i="6" a="1"/>
  <c r="K28" i="6" s="1"/>
  <c r="J40" i="6" a="1"/>
  <c r="J40" i="6" s="1"/>
  <c r="K40" i="6" a="1"/>
  <c r="K40" i="6" s="1"/>
  <c r="J46" i="6" a="1"/>
  <c r="J46" i="6" s="1"/>
  <c r="K46" i="6" a="1"/>
  <c r="K46" i="6" s="1"/>
  <c r="J38" i="6" a="1"/>
  <c r="J38" i="6" s="1"/>
  <c r="K38" i="6" a="1"/>
  <c r="K38" i="6" s="1"/>
  <c r="J36" i="6" a="1"/>
  <c r="J36" i="6" s="1"/>
  <c r="K36" i="6" a="1"/>
  <c r="K36" i="6" s="1"/>
  <c r="AV68" i="4"/>
  <c r="J9" i="6" a="1"/>
  <c r="J9" i="6" s="1"/>
  <c r="K9" i="6" a="1"/>
  <c r="K9" i="6" s="1"/>
  <c r="J58" i="6" a="1"/>
  <c r="J58" i="6" s="1"/>
  <c r="K58" i="6" a="1"/>
  <c r="K58" i="6" s="1"/>
  <c r="AS68" i="4"/>
  <c r="J32" i="6" a="1"/>
  <c r="J32" i="6" s="1"/>
  <c r="K32" i="6" a="1"/>
  <c r="K32" i="6" s="1"/>
  <c r="J57" i="6" a="1"/>
  <c r="J57" i="6" s="1"/>
  <c r="K57" i="6" a="1"/>
  <c r="K57" i="6" s="1"/>
  <c r="J43" i="6" a="1"/>
  <c r="J43" i="6" s="1"/>
  <c r="K43" i="6" a="1"/>
  <c r="K43" i="6" s="1"/>
  <c r="J27" i="6" a="1"/>
  <c r="J27" i="6" s="1"/>
  <c r="K27" i="6" a="1"/>
  <c r="K27" i="6" s="1"/>
  <c r="AI68" i="4"/>
  <c r="J41" i="6" a="1"/>
  <c r="J41" i="6" s="1"/>
  <c r="K41" i="6" a="1"/>
  <c r="K41" i="6" s="1"/>
  <c r="AO68" i="4"/>
  <c r="AX68" i="4"/>
  <c r="AP68" i="4"/>
  <c r="AU68" i="4"/>
  <c r="J39" i="6" a="1"/>
  <c r="J39" i="6" s="1"/>
  <c r="K39" i="6" a="1"/>
  <c r="K39" i="6" s="1"/>
  <c r="I48" i="6"/>
  <c r="AR68" i="4"/>
  <c r="J55" i="6" a="1"/>
  <c r="J55" i="6" s="1"/>
  <c r="K55" i="6" a="1"/>
  <c r="K55" i="6" s="1"/>
  <c r="J10" i="6" a="1"/>
  <c r="J10" i="6" s="1"/>
  <c r="K10" i="6" a="1"/>
  <c r="K10" i="6" s="1"/>
  <c r="J22" i="6" a="1"/>
  <c r="J22" i="6" s="1"/>
  <c r="K22" i="6" a="1"/>
  <c r="K22" i="6" s="1"/>
  <c r="AZ68" i="4"/>
  <c r="AL68" i="4"/>
  <c r="J18" i="6" a="1"/>
  <c r="J18" i="6" s="1"/>
  <c r="K18" i="6" a="1"/>
  <c r="K18" i="6" s="1"/>
  <c r="I7" i="6"/>
  <c r="J66" i="6" a="1"/>
  <c r="J66" i="6" s="1"/>
  <c r="K66" i="6" a="1"/>
  <c r="K66" i="6" s="1"/>
  <c r="J6" i="6" a="1"/>
  <c r="J6" i="6" s="1"/>
  <c r="K6" i="6" a="1"/>
  <c r="K6" i="6" s="1"/>
  <c r="Z60" i="13"/>
  <c r="W60" i="13"/>
  <c r="I61" i="13"/>
  <c r="I254" i="6" l="1"/>
  <c r="I285" i="6"/>
  <c r="I319" i="6"/>
  <c r="I286" i="6"/>
  <c r="I306" i="6"/>
  <c r="I298" i="6"/>
  <c r="I334" i="6"/>
  <c r="I217" i="6"/>
  <c r="I248" i="6"/>
  <c r="I293" i="6"/>
  <c r="I299" i="6"/>
  <c r="I311" i="6"/>
  <c r="I192" i="6"/>
  <c r="I187" i="6"/>
  <c r="I195" i="6"/>
  <c r="I353" i="6"/>
  <c r="I354" i="6"/>
  <c r="I230" i="6"/>
  <c r="I305" i="6"/>
  <c r="I224" i="6"/>
  <c r="I244" i="6"/>
  <c r="I351" i="6"/>
  <c r="I247" i="6"/>
  <c r="I341" i="6"/>
  <c r="I201" i="6"/>
  <c r="I236" i="6"/>
  <c r="I292" i="6"/>
  <c r="W105" i="13"/>
  <c r="Y105" i="13" s="1"/>
  <c r="AB105" i="13" s="1"/>
  <c r="Z105" i="13"/>
  <c r="G107" i="13"/>
  <c r="I106" i="13"/>
  <c r="I238" i="6"/>
  <c r="I233" i="6"/>
  <c r="I279" i="6"/>
  <c r="I330" i="6"/>
  <c r="I276" i="6"/>
  <c r="I202" i="6"/>
  <c r="I291" i="6"/>
  <c r="I250" i="6"/>
  <c r="I357" i="6"/>
  <c r="I237" i="6"/>
  <c r="I361" i="6"/>
  <c r="I333" i="6"/>
  <c r="I225" i="6"/>
  <c r="I252" i="6"/>
  <c r="I323" i="6"/>
  <c r="I222" i="6"/>
  <c r="I270" i="6"/>
  <c r="I208" i="6"/>
  <c r="I245" i="6"/>
  <c r="I272" i="6"/>
  <c r="I259" i="6"/>
  <c r="I310" i="6"/>
  <c r="I253" i="6"/>
  <c r="I275" i="6"/>
  <c r="I223" i="6"/>
  <c r="I241" i="6"/>
  <c r="I268" i="6"/>
  <c r="I210" i="6"/>
  <c r="I264" i="6"/>
  <c r="I329" i="6"/>
  <c r="I290" i="6"/>
  <c r="I209" i="6"/>
  <c r="I231" i="6"/>
  <c r="I228" i="6"/>
  <c r="I265" i="6"/>
  <c r="I269" i="6"/>
  <c r="I295" i="6"/>
  <c r="I215" i="6"/>
  <c r="I206" i="6"/>
  <c r="I197" i="6"/>
  <c r="I196" i="6"/>
  <c r="I191" i="6"/>
  <c r="I263" i="6"/>
  <c r="I227" i="6"/>
  <c r="I232" i="6"/>
  <c r="I297" i="6"/>
  <c r="I255" i="6"/>
  <c r="I349" i="6"/>
  <c r="I343" i="6"/>
  <c r="I296" i="6"/>
  <c r="I283" i="6"/>
  <c r="I258" i="6"/>
  <c r="I364" i="6"/>
  <c r="I332" i="6"/>
  <c r="I284" i="6"/>
  <c r="I211" i="6"/>
  <c r="I261" i="6"/>
  <c r="I340" i="6"/>
  <c r="I280" i="6"/>
  <c r="AB104" i="13"/>
  <c r="AJ104" i="13" s="1" a="1"/>
  <c r="AJ104" i="13" s="1"/>
  <c r="AA104" i="13"/>
  <c r="I327" i="6"/>
  <c r="I212" i="6"/>
  <c r="I226" i="6"/>
  <c r="I352" i="6"/>
  <c r="I205" i="6"/>
  <c r="I294" i="6"/>
  <c r="I337" i="6"/>
  <c r="I301" i="6"/>
  <c r="I204" i="6"/>
  <c r="I213" i="6"/>
  <c r="I342" i="6"/>
  <c r="I308" i="6"/>
  <c r="I240" i="6"/>
  <c r="I324" i="6"/>
  <c r="I218" i="6"/>
  <c r="I307" i="6"/>
  <c r="I243" i="6"/>
  <c r="I190" i="6"/>
  <c r="I302" i="6"/>
  <c r="I315" i="6"/>
  <c r="I345" i="6"/>
  <c r="I346" i="6"/>
  <c r="I339" i="6"/>
  <c r="I194" i="6"/>
  <c r="I220" i="6"/>
  <c r="I249" i="6"/>
  <c r="I358" i="6"/>
  <c r="I359" i="6"/>
  <c r="I278" i="6"/>
  <c r="I322" i="6"/>
  <c r="I199" i="6"/>
  <c r="I281" i="6"/>
  <c r="I316" i="6"/>
  <c r="I271" i="6"/>
  <c r="I360" i="6"/>
  <c r="I331" i="6"/>
  <c r="I198" i="6"/>
  <c r="I365" i="6"/>
  <c r="I335" i="6"/>
  <c r="I326" i="6"/>
  <c r="X67" i="4"/>
  <c r="R74" i="13"/>
  <c r="R71" i="13"/>
  <c r="U67" i="4"/>
  <c r="AC67" i="4"/>
  <c r="R79" i="13"/>
  <c r="I257" i="6"/>
  <c r="I256" i="6"/>
  <c r="I251" i="6"/>
  <c r="I366" i="6"/>
  <c r="I235" i="6"/>
  <c r="I287" i="6"/>
  <c r="I282" i="6"/>
  <c r="I242" i="6"/>
  <c r="I356" i="6"/>
  <c r="I317" i="6"/>
  <c r="I273" i="6"/>
  <c r="I312" i="6"/>
  <c r="I362" i="6"/>
  <c r="I363" i="6"/>
  <c r="I260" i="6"/>
  <c r="I277" i="6"/>
  <c r="I344" i="6"/>
  <c r="R78" i="13"/>
  <c r="AB67" i="4"/>
  <c r="AF67" i="4"/>
  <c r="R82" i="13"/>
  <c r="R84" i="13"/>
  <c r="AH67" i="4"/>
  <c r="I300" i="6"/>
  <c r="I350" i="6"/>
  <c r="I320" i="6"/>
  <c r="I304" i="6"/>
  <c r="I303" i="6"/>
  <c r="I314" i="6"/>
  <c r="I325" i="6"/>
  <c r="I321" i="6"/>
  <c r="I188" i="6"/>
  <c r="I318" i="6"/>
  <c r="R75" i="13"/>
  <c r="Y67" i="4"/>
  <c r="AA67" i="4"/>
  <c r="R77" i="13"/>
  <c r="AD67" i="4"/>
  <c r="R80" i="13"/>
  <c r="I229" i="6"/>
  <c r="I216" i="6"/>
  <c r="I289" i="6"/>
  <c r="I355" i="6"/>
  <c r="I288" i="6"/>
  <c r="I347" i="6"/>
  <c r="I267" i="6"/>
  <c r="I200" i="6"/>
  <c r="Q70" i="13" s="1"/>
  <c r="AE67" i="4"/>
  <c r="R81" i="13"/>
  <c r="I266" i="6"/>
  <c r="I234" i="6"/>
  <c r="AG67" i="4"/>
  <c r="R83" i="13"/>
  <c r="T67" i="4"/>
  <c r="R70" i="13"/>
  <c r="R73" i="13"/>
  <c r="W67" i="4"/>
  <c r="I246" i="6"/>
  <c r="I219" i="6"/>
  <c r="I328" i="6"/>
  <c r="I189" i="6"/>
  <c r="I239" i="6"/>
  <c r="I274" i="6"/>
  <c r="I193" i="6"/>
  <c r="I338" i="6"/>
  <c r="I336" i="6"/>
  <c r="I221" i="6"/>
  <c r="I214" i="6"/>
  <c r="I313" i="6"/>
  <c r="I309" i="6"/>
  <c r="R72" i="13"/>
  <c r="V67" i="4"/>
  <c r="R76" i="13"/>
  <c r="Z67" i="4"/>
  <c r="I41" i="6"/>
  <c r="I70" i="6"/>
  <c r="I68" i="6"/>
  <c r="I111" i="6"/>
  <c r="I54" i="6"/>
  <c r="I53" i="6"/>
  <c r="I16" i="6"/>
  <c r="I52" i="6"/>
  <c r="I44" i="6"/>
  <c r="I122" i="6"/>
  <c r="I107" i="6"/>
  <c r="I180" i="6"/>
  <c r="I133" i="6"/>
  <c r="I128" i="6"/>
  <c r="I104" i="6"/>
  <c r="I81" i="6"/>
  <c r="I108" i="6"/>
  <c r="I118" i="6"/>
  <c r="I35" i="6"/>
  <c r="I25" i="6"/>
  <c r="I11" i="6"/>
  <c r="I8" i="6"/>
  <c r="I186" i="6"/>
  <c r="I114" i="6"/>
  <c r="I116" i="6"/>
  <c r="I74" i="6"/>
  <c r="I164" i="6"/>
  <c r="I110" i="6"/>
  <c r="I112" i="6"/>
  <c r="I147" i="6"/>
  <c r="I153" i="6"/>
  <c r="I76" i="6"/>
  <c r="I121" i="6"/>
  <c r="I71" i="6"/>
  <c r="I145" i="6"/>
  <c r="I99" i="6"/>
  <c r="I120" i="6"/>
  <c r="I142" i="6"/>
  <c r="I58" i="6"/>
  <c r="I134" i="6"/>
  <c r="I92" i="6"/>
  <c r="I182" i="6"/>
  <c r="I73" i="6"/>
  <c r="I119" i="6"/>
  <c r="I149" i="6"/>
  <c r="I151" i="6"/>
  <c r="I115" i="6"/>
  <c r="I144" i="6"/>
  <c r="I150" i="6"/>
  <c r="I177" i="6"/>
  <c r="I156" i="6"/>
  <c r="I98" i="6"/>
  <c r="I22" i="6"/>
  <c r="I26" i="6"/>
  <c r="I75" i="6"/>
  <c r="I141" i="6"/>
  <c r="I174" i="6"/>
  <c r="I172" i="6"/>
  <c r="I129" i="6"/>
  <c r="I152" i="6"/>
  <c r="I101" i="6"/>
  <c r="I184" i="6"/>
  <c r="I20" i="6"/>
  <c r="I63" i="6"/>
  <c r="I23" i="6"/>
  <c r="I49" i="6"/>
  <c r="I162" i="6"/>
  <c r="I171" i="6"/>
  <c r="S67" i="4"/>
  <c r="R69" i="13"/>
  <c r="AH104" i="13"/>
  <c r="I85" i="6"/>
  <c r="R67" i="13"/>
  <c r="I39" i="6"/>
  <c r="I50" i="6"/>
  <c r="I30" i="6"/>
  <c r="I12" i="6"/>
  <c r="I24" i="6"/>
  <c r="I31" i="6"/>
  <c r="I138" i="6"/>
  <c r="I117" i="6"/>
  <c r="R64" i="13"/>
  <c r="R65" i="13"/>
  <c r="I176" i="6"/>
  <c r="I61" i="6"/>
  <c r="R66" i="13"/>
  <c r="I84" i="6"/>
  <c r="I94" i="6"/>
  <c r="R68" i="13"/>
  <c r="I10" i="6"/>
  <c r="I57" i="6"/>
  <c r="I36" i="6"/>
  <c r="I169" i="6"/>
  <c r="I109" i="6"/>
  <c r="I175" i="6"/>
  <c r="I123" i="6"/>
  <c r="I135" i="6"/>
  <c r="I181" i="6"/>
  <c r="I102" i="6"/>
  <c r="I179" i="6"/>
  <c r="I95" i="6"/>
  <c r="I82" i="6"/>
  <c r="I100" i="6"/>
  <c r="I159" i="6"/>
  <c r="I127" i="6"/>
  <c r="I140" i="6"/>
  <c r="I168" i="6"/>
  <c r="I93" i="6"/>
  <c r="I43" i="6"/>
  <c r="I40" i="6"/>
  <c r="I51" i="6"/>
  <c r="I64" i="6"/>
  <c r="M67" i="4"/>
  <c r="R63" i="13"/>
  <c r="I96" i="6"/>
  <c r="I157" i="6"/>
  <c r="I80" i="6"/>
  <c r="I139" i="6"/>
  <c r="I165" i="6"/>
  <c r="I86" i="6"/>
  <c r="I158" i="6"/>
  <c r="I167" i="6"/>
  <c r="I72" i="6"/>
  <c r="I137" i="6"/>
  <c r="I131" i="6"/>
  <c r="I166" i="6"/>
  <c r="I160" i="6"/>
  <c r="I69" i="6"/>
  <c r="I78" i="6"/>
  <c r="I79" i="6"/>
  <c r="I178" i="6"/>
  <c r="R61" i="13"/>
  <c r="K67" i="4"/>
  <c r="Q67" i="4"/>
  <c r="I173" i="6"/>
  <c r="I161" i="6"/>
  <c r="I106" i="6"/>
  <c r="I103" i="6"/>
  <c r="I170" i="6"/>
  <c r="I126" i="6"/>
  <c r="I97" i="6"/>
  <c r="I67" i="6"/>
  <c r="I155" i="6"/>
  <c r="I124" i="6"/>
  <c r="I91" i="6"/>
  <c r="I87" i="6"/>
  <c r="I146" i="6"/>
  <c r="I143" i="6"/>
  <c r="I148" i="6"/>
  <c r="I113" i="6"/>
  <c r="I154" i="6"/>
  <c r="I105" i="6"/>
  <c r="N67" i="4"/>
  <c r="O67" i="4"/>
  <c r="I163" i="6"/>
  <c r="I185" i="6"/>
  <c r="I132" i="6"/>
  <c r="R60" i="13"/>
  <c r="J67" i="4"/>
  <c r="I59" i="6"/>
  <c r="I14" i="6"/>
  <c r="I37" i="6"/>
  <c r="I183" i="6"/>
  <c r="I130" i="6"/>
  <c r="I88" i="6"/>
  <c r="P67" i="4"/>
  <c r="L67" i="4"/>
  <c r="R62" i="13"/>
  <c r="I42" i="6"/>
  <c r="I29" i="6"/>
  <c r="I136" i="6"/>
  <c r="I90" i="6"/>
  <c r="I89" i="6"/>
  <c r="R67" i="4"/>
  <c r="R58" i="13"/>
  <c r="H67" i="4"/>
  <c r="I66" i="6"/>
  <c r="I27" i="6"/>
  <c r="I28" i="6"/>
  <c r="I60" i="6"/>
  <c r="F67" i="4"/>
  <c r="R56" i="13"/>
  <c r="I21" i="6"/>
  <c r="I47" i="6"/>
  <c r="I18" i="6"/>
  <c r="I65" i="6"/>
  <c r="I56" i="6"/>
  <c r="I33" i="6"/>
  <c r="I62" i="6"/>
  <c r="I34" i="6"/>
  <c r="R57" i="13"/>
  <c r="G67" i="4"/>
  <c r="K3" i="6"/>
  <c r="I6" i="6"/>
  <c r="J3" i="6"/>
  <c r="M6" i="6"/>
  <c r="M7" i="6" s="1"/>
  <c r="M8" i="6" s="1"/>
  <c r="M9" i="6" s="1"/>
  <c r="M10" i="6" s="1"/>
  <c r="M11" i="6" s="1"/>
  <c r="M12" i="6" s="1"/>
  <c r="M13" i="6" s="1"/>
  <c r="M14" i="6" s="1"/>
  <c r="M15" i="6" s="1"/>
  <c r="M16" i="6" s="1"/>
  <c r="M17" i="6" s="1"/>
  <c r="M18" i="6" s="1"/>
  <c r="M19" i="6" s="1"/>
  <c r="M20" i="6" s="1"/>
  <c r="M21" i="6" s="1"/>
  <c r="M22" i="6" s="1"/>
  <c r="M23" i="6" s="1"/>
  <c r="T54" i="13" s="1" a="1"/>
  <c r="T54" i="13" s="1"/>
  <c r="D67" i="4"/>
  <c r="R54" i="13"/>
  <c r="R55" i="13"/>
  <c r="E67" i="4"/>
  <c r="I55" i="6"/>
  <c r="I32" i="6"/>
  <c r="I9" i="6"/>
  <c r="I38" i="6"/>
  <c r="I13" i="6"/>
  <c r="I67" i="4"/>
  <c r="R59" i="13"/>
  <c r="I46" i="6"/>
  <c r="I15" i="6"/>
  <c r="I62" i="13"/>
  <c r="W61" i="13"/>
  <c r="Z61" i="13"/>
  <c r="AH105" i="13" l="1"/>
  <c r="AJ105" i="13" a="1"/>
  <c r="AJ105" i="13" s="1"/>
  <c r="AI105" i="13" a="1"/>
  <c r="AI105" i="13" s="1"/>
  <c r="W106" i="13"/>
  <c r="Y106" i="13" s="1"/>
  <c r="Z106" i="13"/>
  <c r="G108" i="13"/>
  <c r="I107" i="13"/>
  <c r="AA105" i="13"/>
  <c r="AI104" i="13" a="1"/>
  <c r="AI104" i="13" s="1"/>
  <c r="Q72" i="13"/>
  <c r="S72" i="13" s="1"/>
  <c r="Q83" i="13"/>
  <c r="S83" i="13" s="1"/>
  <c r="Q81" i="13"/>
  <c r="S81" i="13" s="1"/>
  <c r="Q82" i="13"/>
  <c r="S82" i="13" s="1"/>
  <c r="AF66" i="4"/>
  <c r="AF68" i="4" s="1"/>
  <c r="T66" i="4"/>
  <c r="T68" i="4" s="1"/>
  <c r="AB66" i="4"/>
  <c r="AB68" i="4" s="1"/>
  <c r="AE66" i="4"/>
  <c r="AE68" i="4" s="1"/>
  <c r="Q76" i="13"/>
  <c r="S76" i="13" s="1"/>
  <c r="AG66" i="4"/>
  <c r="AG68" i="4" s="1"/>
  <c r="Q78" i="13"/>
  <c r="S78" i="13" s="1"/>
  <c r="S70" i="13"/>
  <c r="Q79" i="13"/>
  <c r="S79" i="13" s="1"/>
  <c r="Z66" i="4"/>
  <c r="Z68" i="4" s="1"/>
  <c r="Q71" i="13"/>
  <c r="S71" i="13" s="1"/>
  <c r="Y66" i="4"/>
  <c r="Y68" i="4" s="1"/>
  <c r="Q74" i="13"/>
  <c r="S74" i="13" s="1"/>
  <c r="X66" i="4"/>
  <c r="X68" i="4" s="1"/>
  <c r="Q84" i="13"/>
  <c r="S84" i="13" s="1"/>
  <c r="AH66" i="4"/>
  <c r="AH68" i="4" s="1"/>
  <c r="V66" i="4"/>
  <c r="V68" i="4" s="1"/>
  <c r="U66" i="4"/>
  <c r="U68" i="4" s="1"/>
  <c r="AD66" i="4"/>
  <c r="AD68" i="4" s="1"/>
  <c r="Q80" i="13"/>
  <c r="S80" i="13" s="1"/>
  <c r="Q75" i="13"/>
  <c r="S75" i="13" s="1"/>
  <c r="AC66" i="4"/>
  <c r="AC68" i="4" s="1"/>
  <c r="S66" i="4"/>
  <c r="S68" i="4" s="1"/>
  <c r="AA66" i="4"/>
  <c r="AA68" i="4" s="1"/>
  <c r="Q77" i="13"/>
  <c r="S77" i="13" s="1"/>
  <c r="W66" i="4"/>
  <c r="W68" i="4" s="1"/>
  <c r="Q73" i="13"/>
  <c r="S73" i="13" s="1"/>
  <c r="Q69" i="13"/>
  <c r="S69" i="13" s="1"/>
  <c r="M66" i="4"/>
  <c r="M68" i="4" s="1"/>
  <c r="Q63" i="13"/>
  <c r="S63" i="13" s="1"/>
  <c r="Q57" i="13"/>
  <c r="S57" i="13" s="1"/>
  <c r="Q67" i="13"/>
  <c r="S67" i="13" s="1"/>
  <c r="Q68" i="13"/>
  <c r="S68" i="13" s="1"/>
  <c r="Q66" i="13"/>
  <c r="S66" i="13" s="1"/>
  <c r="O66" i="4"/>
  <c r="O68" i="4" s="1"/>
  <c r="R66" i="4"/>
  <c r="R68" i="4" s="1"/>
  <c r="Q66" i="4"/>
  <c r="Q68" i="4" s="1"/>
  <c r="N66" i="4"/>
  <c r="N68" i="4" s="1"/>
  <c r="Q64" i="13"/>
  <c r="S64" i="13" s="1"/>
  <c r="P66" i="4"/>
  <c r="P68" i="4" s="1"/>
  <c r="L66" i="4"/>
  <c r="L68" i="4" s="1"/>
  <c r="Q65" i="13"/>
  <c r="S65" i="13" s="1"/>
  <c r="Q56" i="13"/>
  <c r="S56" i="13" s="1"/>
  <c r="Q61" i="13"/>
  <c r="S61" i="13" s="1"/>
  <c r="K66" i="4"/>
  <c r="K68" i="4" s="1"/>
  <c r="J66" i="4"/>
  <c r="J68" i="4" s="1"/>
  <c r="Q60" i="13"/>
  <c r="S60" i="13" s="1"/>
  <c r="Q58" i="13"/>
  <c r="S58" i="13" s="1"/>
  <c r="Q62" i="13"/>
  <c r="S62" i="13" s="1"/>
  <c r="G66" i="4"/>
  <c r="G68" i="4" s="1"/>
  <c r="D69" i="4" a="1"/>
  <c r="D69" i="4" s="1"/>
  <c r="M24" i="6"/>
  <c r="M25" i="6" s="1"/>
  <c r="M26" i="6" s="1"/>
  <c r="M27" i="6" s="1"/>
  <c r="M28" i="6" s="1"/>
  <c r="M29" i="6" s="1"/>
  <c r="M30" i="6" s="1"/>
  <c r="M31" i="6" s="1"/>
  <c r="M32" i="6" s="1"/>
  <c r="M33" i="6" s="1"/>
  <c r="M34" i="6" s="1"/>
  <c r="M35" i="6" s="1"/>
  <c r="T55" i="13" s="1" a="1"/>
  <c r="T55" i="13" s="1"/>
  <c r="Q59" i="13"/>
  <c r="I66" i="4"/>
  <c r="F66" i="4"/>
  <c r="I3" i="6"/>
  <c r="D66" i="4"/>
  <c r="Q54" i="13"/>
  <c r="S54" i="13" s="1"/>
  <c r="E66" i="4"/>
  <c r="Q55" i="13"/>
  <c r="H66" i="4"/>
  <c r="W62" i="13"/>
  <c r="Z62" i="13"/>
  <c r="I63" i="13"/>
  <c r="W107" i="13" l="1"/>
  <c r="Y107" i="13" s="1"/>
  <c r="AB107" i="13" s="1"/>
  <c r="Z107" i="13"/>
  <c r="G109" i="13"/>
  <c r="I108" i="13"/>
  <c r="AA106" i="13"/>
  <c r="AB106" i="13"/>
  <c r="F68" i="4"/>
  <c r="I68" i="4"/>
  <c r="S59" i="13"/>
  <c r="H68" i="4"/>
  <c r="E69" i="4" a="1"/>
  <c r="E69" i="4" s="1"/>
  <c r="M36" i="6"/>
  <c r="M37" i="6" s="1"/>
  <c r="M38" i="6" s="1"/>
  <c r="M39" i="6" s="1"/>
  <c r="M40" i="6" s="1"/>
  <c r="M41" i="6" s="1"/>
  <c r="M42" i="6" s="1"/>
  <c r="M43" i="6" s="1"/>
  <c r="M44" i="6" s="1"/>
  <c r="M45" i="6" s="1"/>
  <c r="M46" i="6" s="1"/>
  <c r="M47" i="6" s="1"/>
  <c r="T56" i="13" s="1" a="1"/>
  <c r="T56" i="13" s="1"/>
  <c r="E68" i="4"/>
  <c r="S55" i="13"/>
  <c r="Y55" i="13" s="1"/>
  <c r="D68" i="4"/>
  <c r="D74" i="4" s="1"/>
  <c r="D78" i="4" s="1"/>
  <c r="Y54" i="13"/>
  <c r="I64" i="13"/>
  <c r="W63" i="13"/>
  <c r="Z63" i="13"/>
  <c r="AH107" i="13" l="1"/>
  <c r="AJ107" i="13" a="1"/>
  <c r="AJ107" i="13" s="1"/>
  <c r="AI107" i="13" a="1"/>
  <c r="AI107" i="13" s="1"/>
  <c r="AH106" i="13"/>
  <c r="AJ106" i="13" a="1"/>
  <c r="AJ106" i="13" s="1"/>
  <c r="AI106" i="13" a="1"/>
  <c r="AI106" i="13" s="1"/>
  <c r="Z108" i="13"/>
  <c r="W108" i="13"/>
  <c r="Y108" i="13" s="1"/>
  <c r="G110" i="13"/>
  <c r="I109" i="13"/>
  <c r="AA107" i="13"/>
  <c r="AB54" i="13"/>
  <c r="AC54" i="13" s="1"/>
  <c r="AK54" i="13" s="1" a="1"/>
  <c r="AK54" i="13" s="1"/>
  <c r="AA54" i="13"/>
  <c r="AB55" i="13"/>
  <c r="AJ55" i="13" s="1" a="1"/>
  <c r="AJ55" i="13" s="1"/>
  <c r="AA55" i="13"/>
  <c r="E74" i="4"/>
  <c r="E78" i="4" s="1"/>
  <c r="E86" i="4" s="1" a="1"/>
  <c r="E86" i="4" s="1"/>
  <c r="Y56" i="13"/>
  <c r="F69" i="4" a="1"/>
  <c r="F69" i="4" s="1"/>
  <c r="F74" i="4" s="1"/>
  <c r="F78" i="4" s="1"/>
  <c r="M48" i="6"/>
  <c r="M49" i="6" s="1"/>
  <c r="M50" i="6" s="1"/>
  <c r="M51" i="6" s="1"/>
  <c r="M52" i="6" s="1"/>
  <c r="M53" i="6" s="1"/>
  <c r="M54" i="6" s="1"/>
  <c r="M55" i="6" s="1"/>
  <c r="M56" i="6" s="1"/>
  <c r="M57" i="6" s="1"/>
  <c r="M58" i="6" s="1"/>
  <c r="M59" i="6" s="1"/>
  <c r="T57" i="13" s="1" a="1"/>
  <c r="T57" i="13" s="1"/>
  <c r="D86" i="4" a="1"/>
  <c r="D86" i="4" s="1"/>
  <c r="N11" i="4" s="1"/>
  <c r="D79" i="4"/>
  <c r="D88" i="4" s="1" a="1"/>
  <c r="D88" i="4" s="1"/>
  <c r="D80" i="4" a="1"/>
  <c r="D80" i="4" s="1"/>
  <c r="D87" i="4" a="1"/>
  <c r="D87" i="4" s="1"/>
  <c r="N9" i="4" s="1"/>
  <c r="I65" i="13"/>
  <c r="W64" i="13"/>
  <c r="Z64" i="13"/>
  <c r="E80" i="4" l="1" a="1"/>
  <c r="E80" i="4" s="1"/>
  <c r="E87" i="4" a="1"/>
  <c r="E87" i="4" s="1"/>
  <c r="AH55" i="13"/>
  <c r="AA108" i="13"/>
  <c r="AI55" i="13" a="1"/>
  <c r="AI55" i="13" s="1"/>
  <c r="AJ54" i="13" a="1"/>
  <c r="AJ54" i="13" s="1"/>
  <c r="M10" i="13" s="1"/>
  <c r="AI54" i="13" a="1"/>
  <c r="AI54" i="13" s="1"/>
  <c r="M12" i="13" s="1"/>
  <c r="AH54" i="13"/>
  <c r="G111" i="13"/>
  <c r="I110" i="13"/>
  <c r="AB108" i="13"/>
  <c r="Z109" i="13"/>
  <c r="W109" i="13"/>
  <c r="Y109" i="13" s="1"/>
  <c r="AB56" i="13"/>
  <c r="AJ56" i="13" s="1" a="1"/>
  <c r="AJ56" i="13" s="1"/>
  <c r="AA56" i="13"/>
  <c r="AC55" i="13"/>
  <c r="AK55" i="13" s="1" a="1"/>
  <c r="AK55" i="13" s="1"/>
  <c r="F87" i="4" a="1"/>
  <c r="F87" i="4" s="1"/>
  <c r="F80" i="4" a="1"/>
  <c r="F80" i="4" s="1"/>
  <c r="F86" i="4" a="1"/>
  <c r="F86" i="4" s="1"/>
  <c r="E79" i="4"/>
  <c r="E88" i="4" s="1" a="1"/>
  <c r="E88" i="4" s="1"/>
  <c r="G69" i="4" a="1"/>
  <c r="G69" i="4" s="1"/>
  <c r="G74" i="4" s="1"/>
  <c r="G78" i="4" s="1"/>
  <c r="Y57" i="13"/>
  <c r="M60" i="6"/>
  <c r="M61" i="6" s="1"/>
  <c r="M62" i="6" s="1"/>
  <c r="M63" i="6" s="1"/>
  <c r="M64" i="6" s="1"/>
  <c r="M65" i="6" s="1"/>
  <c r="M66" i="6" s="1"/>
  <c r="M67" i="6" s="1"/>
  <c r="M68" i="6" s="1"/>
  <c r="M69" i="6" s="1"/>
  <c r="M70" i="6" s="1"/>
  <c r="M71" i="6" s="1"/>
  <c r="T58" i="13" s="1" a="1"/>
  <c r="T58" i="13" s="1"/>
  <c r="I66" i="13"/>
  <c r="W65" i="13"/>
  <c r="Z65" i="13"/>
  <c r="AA109" i="13" l="1"/>
  <c r="AI56" i="13" a="1"/>
  <c r="AI56" i="13" s="1"/>
  <c r="AH56" i="13"/>
  <c r="AB109" i="13"/>
  <c r="AH108" i="13"/>
  <c r="AJ108" i="13" a="1"/>
  <c r="AJ108" i="13" s="1"/>
  <c r="AI108" i="13" a="1"/>
  <c r="AI108" i="13" s="1"/>
  <c r="W110" i="13"/>
  <c r="Y110" i="13" s="1"/>
  <c r="Z110" i="13"/>
  <c r="AB110" i="13" s="1"/>
  <c r="G112" i="13"/>
  <c r="I111" i="13"/>
  <c r="AB57" i="13"/>
  <c r="AJ57" i="13" s="1" a="1"/>
  <c r="AJ57" i="13" s="1"/>
  <c r="AA57" i="13"/>
  <c r="AC56" i="13"/>
  <c r="AK56" i="13" s="1" a="1"/>
  <c r="AK56" i="13" s="1"/>
  <c r="F79" i="4"/>
  <c r="F88" i="4" s="1" a="1"/>
  <c r="F88" i="4" s="1"/>
  <c r="H69" i="4" a="1"/>
  <c r="H69" i="4" s="1"/>
  <c r="H74" i="4" s="1"/>
  <c r="H78" i="4" s="1"/>
  <c r="Y58" i="13"/>
  <c r="M72" i="6"/>
  <c r="M73" i="6" s="1"/>
  <c r="M74" i="6" s="1"/>
  <c r="M75" i="6" s="1"/>
  <c r="M76" i="6" s="1"/>
  <c r="M77" i="6" s="1"/>
  <c r="M78" i="6" s="1"/>
  <c r="M79" i="6" s="1"/>
  <c r="M80" i="6" s="1"/>
  <c r="M81" i="6" s="1"/>
  <c r="M82" i="6" s="1"/>
  <c r="M83" i="6" s="1"/>
  <c r="T59" i="13" s="1" a="1"/>
  <c r="T59" i="13" s="1"/>
  <c r="G87" i="4" a="1"/>
  <c r="G87" i="4" s="1"/>
  <c r="G86" i="4" a="1"/>
  <c r="G86" i="4" s="1"/>
  <c r="G80" i="4" a="1"/>
  <c r="G80" i="4" s="1"/>
  <c r="I67" i="13"/>
  <c r="W66" i="13"/>
  <c r="Z66" i="13"/>
  <c r="AH110" i="13" l="1"/>
  <c r="AJ110" i="13" a="1"/>
  <c r="AJ110" i="13" s="1"/>
  <c r="AI110" i="13" a="1"/>
  <c r="AI110" i="13" s="1"/>
  <c r="Z111" i="13"/>
  <c r="W111" i="13"/>
  <c r="Y111" i="13" s="1"/>
  <c r="AA111" i="13" s="1"/>
  <c r="G113" i="13"/>
  <c r="I113" i="13" s="1"/>
  <c r="I112" i="13"/>
  <c r="AA110" i="13"/>
  <c r="AH109" i="13"/>
  <c r="AJ109" i="13" a="1"/>
  <c r="AJ109" i="13" s="1"/>
  <c r="AI109" i="13" a="1"/>
  <c r="AI109" i="13" s="1"/>
  <c r="AH57" i="13"/>
  <c r="AI57" i="13" a="1"/>
  <c r="AI57" i="13" s="1"/>
  <c r="G79" i="4"/>
  <c r="G88" i="4" s="1" a="1"/>
  <c r="G88" i="4" s="1"/>
  <c r="AB58" i="13"/>
  <c r="AJ58" i="13" s="1" a="1"/>
  <c r="AJ58" i="13" s="1"/>
  <c r="AA58" i="13"/>
  <c r="AC57" i="13"/>
  <c r="AK57" i="13" s="1" a="1"/>
  <c r="AK57" i="13" s="1"/>
  <c r="AH58" i="13"/>
  <c r="H86" i="4" a="1"/>
  <c r="H86" i="4" s="1"/>
  <c r="H87" i="4" a="1"/>
  <c r="H87" i="4" s="1"/>
  <c r="H80" i="4" a="1"/>
  <c r="H80" i="4" s="1"/>
  <c r="H79" i="4"/>
  <c r="H88" i="4" s="1" a="1"/>
  <c r="H88" i="4" s="1"/>
  <c r="I69" i="4" a="1"/>
  <c r="I69" i="4" s="1"/>
  <c r="I74" i="4" s="1"/>
  <c r="I78" i="4" s="1"/>
  <c r="Y59" i="13"/>
  <c r="M84" i="6"/>
  <c r="M85" i="6" s="1"/>
  <c r="M86" i="6" s="1"/>
  <c r="M87" i="6" s="1"/>
  <c r="M88" i="6" s="1"/>
  <c r="M89" i="6" s="1"/>
  <c r="M90" i="6" s="1"/>
  <c r="M91" i="6" s="1"/>
  <c r="M92" i="6" s="1"/>
  <c r="M93" i="6" s="1"/>
  <c r="M94" i="6" s="1"/>
  <c r="M95" i="6" s="1"/>
  <c r="T60" i="13" s="1" a="1"/>
  <c r="T60" i="13" s="1"/>
  <c r="I68" i="13"/>
  <c r="W67" i="13"/>
  <c r="Z67" i="13"/>
  <c r="AI58" i="13" l="1" a="1"/>
  <c r="AI58" i="13" s="1"/>
  <c r="Z113" i="13"/>
  <c r="W113" i="13"/>
  <c r="Y113" i="13" s="1"/>
  <c r="AA113" i="13" s="1"/>
  <c r="Z112" i="13"/>
  <c r="AB112" i="13"/>
  <c r="W112" i="13"/>
  <c r="Y112" i="13" s="1"/>
  <c r="AA112" i="13" s="1"/>
  <c r="AB111" i="13"/>
  <c r="AB59" i="13"/>
  <c r="AJ59" i="13" s="1" a="1"/>
  <c r="AJ59" i="13" s="1"/>
  <c r="AA59" i="13"/>
  <c r="AC58" i="13"/>
  <c r="AK58" i="13" s="1" a="1"/>
  <c r="AK58" i="13" s="1"/>
  <c r="I87" i="4" a="1"/>
  <c r="I87" i="4" s="1"/>
  <c r="I80" i="4" a="1"/>
  <c r="I80" i="4" s="1"/>
  <c r="I86" i="4" a="1"/>
  <c r="I86" i="4" s="1"/>
  <c r="I79" i="4"/>
  <c r="I88" i="4" s="1" a="1"/>
  <c r="I88" i="4" s="1"/>
  <c r="Y60" i="13"/>
  <c r="J69" i="4" a="1"/>
  <c r="J69" i="4" s="1"/>
  <c r="J74" i="4" s="1"/>
  <c r="J78" i="4" s="1"/>
  <c r="M96" i="6"/>
  <c r="M97" i="6" s="1"/>
  <c r="M98" i="6" s="1"/>
  <c r="M99" i="6" s="1"/>
  <c r="M100" i="6" s="1"/>
  <c r="M101" i="6" s="1"/>
  <c r="M102" i="6" s="1"/>
  <c r="M103" i="6" s="1"/>
  <c r="M104" i="6" s="1"/>
  <c r="M105" i="6" s="1"/>
  <c r="M106" i="6" s="1"/>
  <c r="M107" i="6" s="1"/>
  <c r="T61" i="13" s="1" a="1"/>
  <c r="T61" i="13" s="1"/>
  <c r="I69" i="13"/>
  <c r="W68" i="13"/>
  <c r="Z68" i="13"/>
  <c r="AH112" i="13" l="1"/>
  <c r="AJ112" i="13" a="1"/>
  <c r="AJ112" i="13" s="1"/>
  <c r="AI112" i="13" a="1"/>
  <c r="AI112" i="13" s="1"/>
  <c r="AB113" i="13"/>
  <c r="AH111" i="13"/>
  <c r="AJ111" i="13" a="1"/>
  <c r="AJ111" i="13" s="1"/>
  <c r="AI111" i="13" a="1"/>
  <c r="AI111" i="13" s="1"/>
  <c r="AH59" i="13"/>
  <c r="AI59" i="13" a="1"/>
  <c r="AI59" i="13" s="1"/>
  <c r="AB60" i="13"/>
  <c r="AJ60" i="13" s="1" a="1"/>
  <c r="AJ60" i="13" s="1"/>
  <c r="AA60" i="13"/>
  <c r="AC59" i="13"/>
  <c r="AK59" i="13" s="1" a="1"/>
  <c r="AK59" i="13" s="1"/>
  <c r="Y61" i="13"/>
  <c r="K69" i="4" a="1"/>
  <c r="K69" i="4" s="1"/>
  <c r="K74" i="4" s="1"/>
  <c r="K78" i="4" s="1"/>
  <c r="M108" i="6"/>
  <c r="M109" i="6" s="1"/>
  <c r="M110" i="6" s="1"/>
  <c r="M111" i="6" s="1"/>
  <c r="M112" i="6" s="1"/>
  <c r="M113" i="6" s="1"/>
  <c r="M114" i="6" s="1"/>
  <c r="M115" i="6" s="1"/>
  <c r="M116" i="6" s="1"/>
  <c r="M117" i="6" s="1"/>
  <c r="M118" i="6" s="1"/>
  <c r="M119" i="6" s="1"/>
  <c r="T62" i="13" s="1" a="1"/>
  <c r="T62" i="13" s="1"/>
  <c r="J87" i="4" a="1"/>
  <c r="J87" i="4" s="1"/>
  <c r="J80" i="4" a="1"/>
  <c r="J80" i="4" s="1"/>
  <c r="J86" i="4" a="1"/>
  <c r="J86" i="4" s="1"/>
  <c r="J79" i="4"/>
  <c r="J88" i="4" s="1" a="1"/>
  <c r="J88" i="4" s="1"/>
  <c r="I70" i="13"/>
  <c r="W69" i="13"/>
  <c r="Z69" i="13"/>
  <c r="AH113" i="13" l="1"/>
  <c r="AJ113" i="13" a="1"/>
  <c r="AJ113" i="13" s="1"/>
  <c r="AI113" i="13" a="1"/>
  <c r="AI113" i="13" s="1"/>
  <c r="AC60" i="13"/>
  <c r="AK60" i="13" s="1" a="1"/>
  <c r="AK60" i="13" s="1"/>
  <c r="AH60" i="13"/>
  <c r="AI60" i="13" a="1"/>
  <c r="AI60" i="13" s="1"/>
  <c r="AB61" i="13"/>
  <c r="AJ61" i="13" s="1" a="1"/>
  <c r="AJ61" i="13" s="1"/>
  <c r="AA61" i="13"/>
  <c r="Y62" i="13"/>
  <c r="L69" i="4" a="1"/>
  <c r="L69" i="4" s="1"/>
  <c r="L74" i="4" s="1"/>
  <c r="L78" i="4" s="1"/>
  <c r="M120" i="6"/>
  <c r="M121" i="6" s="1"/>
  <c r="M122" i="6" s="1"/>
  <c r="M123" i="6" s="1"/>
  <c r="M124" i="6" s="1"/>
  <c r="M125" i="6" s="1"/>
  <c r="M126" i="6" s="1"/>
  <c r="M127" i="6" s="1"/>
  <c r="M128" i="6" s="1"/>
  <c r="M129" i="6" s="1"/>
  <c r="M130" i="6" s="1"/>
  <c r="M131" i="6" s="1"/>
  <c r="T63" i="13" s="1" a="1"/>
  <c r="T63" i="13" s="1"/>
  <c r="K87" i="4" a="1"/>
  <c r="K87" i="4" s="1"/>
  <c r="K86" i="4" a="1"/>
  <c r="K86" i="4" s="1"/>
  <c r="K80" i="4" a="1"/>
  <c r="K80" i="4" s="1"/>
  <c r="K79" i="4"/>
  <c r="K88" i="4" s="1" a="1"/>
  <c r="K88" i="4" s="1"/>
  <c r="I71" i="13"/>
  <c r="Z70" i="13"/>
  <c r="W70" i="13"/>
  <c r="AH61" i="13" l="1"/>
  <c r="AC61" i="13"/>
  <c r="AK61" i="13" s="1" a="1"/>
  <c r="AK61" i="13" s="1"/>
  <c r="AI61" i="13" a="1"/>
  <c r="AI61" i="13" s="1"/>
  <c r="AB62" i="13"/>
  <c r="AJ62" i="13" s="1" a="1"/>
  <c r="AJ62" i="13" s="1"/>
  <c r="AA62" i="13"/>
  <c r="Y63" i="13"/>
  <c r="M69" i="4" a="1"/>
  <c r="M69" i="4" s="1"/>
  <c r="M74" i="4" s="1"/>
  <c r="M78" i="4" s="1"/>
  <c r="M132" i="6"/>
  <c r="M133" i="6" s="1"/>
  <c r="M134" i="6" s="1"/>
  <c r="M135" i="6" s="1"/>
  <c r="M136" i="6" s="1"/>
  <c r="M137" i="6" s="1"/>
  <c r="M138" i="6" s="1"/>
  <c r="M139" i="6" s="1"/>
  <c r="M140" i="6" s="1"/>
  <c r="M141" i="6" s="1"/>
  <c r="M142" i="6" s="1"/>
  <c r="M143" i="6" s="1"/>
  <c r="T64" i="13" s="1" a="1"/>
  <c r="T64" i="13" s="1"/>
  <c r="L87" i="4" a="1"/>
  <c r="L87" i="4" s="1"/>
  <c r="L86" i="4" a="1"/>
  <c r="L86" i="4" s="1"/>
  <c r="L80" i="4" a="1"/>
  <c r="L80" i="4" s="1"/>
  <c r="L79" i="4"/>
  <c r="L88" i="4" s="1" a="1"/>
  <c r="L88" i="4" s="1"/>
  <c r="I72" i="13"/>
  <c r="Z71" i="13"/>
  <c r="W71" i="13"/>
  <c r="AC62" i="13" l="1"/>
  <c r="AK62" i="13" s="1" a="1"/>
  <c r="AK62" i="13" s="1"/>
  <c r="AH62" i="13"/>
  <c r="AI62" i="13" a="1"/>
  <c r="AI62" i="13" s="1"/>
  <c r="AB63" i="13"/>
  <c r="AJ63" i="13" s="1" a="1"/>
  <c r="AJ63" i="13" s="1"/>
  <c r="AA63" i="13"/>
  <c r="N69" i="4" a="1"/>
  <c r="N69" i="4" s="1"/>
  <c r="N74" i="4" s="1"/>
  <c r="N78" i="4" s="1"/>
  <c r="Y64" i="13"/>
  <c r="M144" i="6"/>
  <c r="M145" i="6" s="1"/>
  <c r="M146" i="6" s="1"/>
  <c r="M147" i="6" s="1"/>
  <c r="M148" i="6" s="1"/>
  <c r="M149" i="6" s="1"/>
  <c r="M150" i="6" s="1"/>
  <c r="M151" i="6" s="1"/>
  <c r="M152" i="6" s="1"/>
  <c r="M153" i="6" s="1"/>
  <c r="M154" i="6" s="1"/>
  <c r="M155" i="6" s="1"/>
  <c r="T65" i="13" s="1" a="1"/>
  <c r="T65" i="13" s="1"/>
  <c r="M86" i="4" a="1"/>
  <c r="M86" i="4" s="1"/>
  <c r="M80" i="4" a="1"/>
  <c r="M80" i="4" s="1"/>
  <c r="M87" i="4" a="1"/>
  <c r="M87" i="4" s="1"/>
  <c r="M79" i="4"/>
  <c r="M88" i="4" s="1" a="1"/>
  <c r="M88" i="4" s="1"/>
  <c r="I73" i="13"/>
  <c r="Z72" i="13"/>
  <c r="W72" i="13"/>
  <c r="AH63" i="13" l="1"/>
  <c r="AC63" i="13"/>
  <c r="AK63" i="13" s="1" a="1"/>
  <c r="AK63" i="13" s="1"/>
  <c r="AI63" i="13" a="1"/>
  <c r="AI63" i="13" s="1"/>
  <c r="AB64" i="13"/>
  <c r="AJ64" i="13" s="1" a="1"/>
  <c r="AJ64" i="13" s="1"/>
  <c r="AA64" i="13"/>
  <c r="Y65" i="13"/>
  <c r="O69" i="4" a="1"/>
  <c r="O69" i="4" s="1"/>
  <c r="O74" i="4" s="1"/>
  <c r="O78" i="4" s="1"/>
  <c r="M156" i="6"/>
  <c r="M157" i="6" s="1"/>
  <c r="M158" i="6" s="1"/>
  <c r="M159" i="6" s="1"/>
  <c r="M160" i="6" s="1"/>
  <c r="M161" i="6" s="1"/>
  <c r="M162" i="6" s="1"/>
  <c r="M163" i="6" s="1"/>
  <c r="M164" i="6" s="1"/>
  <c r="M165" i="6" s="1"/>
  <c r="M166" i="6" s="1"/>
  <c r="M167" i="6" s="1"/>
  <c r="T66" i="13" s="1" a="1"/>
  <c r="T66" i="13" s="1"/>
  <c r="N87" i="4" a="1"/>
  <c r="N87" i="4" s="1"/>
  <c r="N80" i="4" a="1"/>
  <c r="N80" i="4" s="1"/>
  <c r="N86" i="4" a="1"/>
  <c r="N86" i="4" s="1"/>
  <c r="N79" i="4"/>
  <c r="N88" i="4" s="1" a="1"/>
  <c r="N88" i="4" s="1"/>
  <c r="I74" i="13"/>
  <c r="W73" i="13"/>
  <c r="Z73" i="13"/>
  <c r="AI64" i="13" l="1" a="1"/>
  <c r="AI64" i="13" s="1"/>
  <c r="AH64" i="13"/>
  <c r="AC64" i="13"/>
  <c r="AK64" i="13" s="1" a="1"/>
  <c r="AK64" i="13" s="1"/>
  <c r="AB65" i="13"/>
  <c r="AJ65" i="13" s="1" a="1"/>
  <c r="AJ65" i="13" s="1"/>
  <c r="AA65" i="13"/>
  <c r="Y66" i="13"/>
  <c r="P69" i="4" a="1"/>
  <c r="P69" i="4" s="1"/>
  <c r="P74" i="4" s="1"/>
  <c r="P78" i="4" s="1"/>
  <c r="M168" i="6"/>
  <c r="M169" i="6" s="1"/>
  <c r="M170" i="6" s="1"/>
  <c r="M171" i="6" s="1"/>
  <c r="M172" i="6" s="1"/>
  <c r="M173" i="6" s="1"/>
  <c r="M174" i="6" s="1"/>
  <c r="M175" i="6" s="1"/>
  <c r="M176" i="6" s="1"/>
  <c r="M177" i="6" s="1"/>
  <c r="M178" i="6" s="1"/>
  <c r="M179" i="6" s="1"/>
  <c r="T67" i="13" s="1" a="1"/>
  <c r="T67" i="13" s="1"/>
  <c r="O80" i="4" a="1"/>
  <c r="O80" i="4" s="1"/>
  <c r="O86" i="4" a="1"/>
  <c r="O86" i="4" s="1"/>
  <c r="O87" i="4" a="1"/>
  <c r="O87" i="4" s="1"/>
  <c r="O79" i="4"/>
  <c r="O88" i="4" s="1" a="1"/>
  <c r="O88" i="4" s="1"/>
  <c r="I75" i="13"/>
  <c r="W74" i="13"/>
  <c r="Z74" i="13"/>
  <c r="AC65" i="13" l="1"/>
  <c r="AK65" i="13" s="1" a="1"/>
  <c r="AK65" i="13" s="1"/>
  <c r="AH65" i="13"/>
  <c r="AI65" i="13" a="1"/>
  <c r="AI65" i="13" s="1"/>
  <c r="AB66" i="13"/>
  <c r="AJ66" i="13" s="1" a="1"/>
  <c r="AJ66" i="13" s="1"/>
  <c r="AA66" i="13"/>
  <c r="Y67" i="13"/>
  <c r="Q69" i="4" a="1"/>
  <c r="Q69" i="4" s="1"/>
  <c r="Q74" i="4" s="1"/>
  <c r="Q78" i="4" s="1"/>
  <c r="M180" i="6"/>
  <c r="M181" i="6" s="1"/>
  <c r="M182" i="6" s="1"/>
  <c r="M183" i="6" s="1"/>
  <c r="M184" i="6" s="1"/>
  <c r="M185" i="6" s="1"/>
  <c r="M186" i="6" s="1"/>
  <c r="M187" i="6" s="1"/>
  <c r="M188" i="6" s="1"/>
  <c r="M189" i="6" s="1"/>
  <c r="M190" i="6" s="1"/>
  <c r="M191" i="6" s="1"/>
  <c r="T68" i="13" s="1" a="1"/>
  <c r="T68" i="13" s="1"/>
  <c r="P80" i="4" a="1"/>
  <c r="P80" i="4" s="1"/>
  <c r="P87" i="4" a="1"/>
  <c r="P87" i="4" s="1"/>
  <c r="P86" i="4" a="1"/>
  <c r="P86" i="4" s="1"/>
  <c r="P79" i="4"/>
  <c r="P88" i="4" s="1" a="1"/>
  <c r="P88" i="4" s="1"/>
  <c r="I76" i="13"/>
  <c r="W75" i="13"/>
  <c r="Z75" i="13"/>
  <c r="AC66" i="13" l="1"/>
  <c r="AK66" i="13" s="1" a="1"/>
  <c r="AK66" i="13" s="1"/>
  <c r="AH66" i="13"/>
  <c r="AB67" i="13"/>
  <c r="AJ67" i="13" s="1" a="1"/>
  <c r="AJ67" i="13" s="1"/>
  <c r="AA67" i="13"/>
  <c r="AI66" i="13" a="1"/>
  <c r="AI66" i="13" s="1"/>
  <c r="AH67" i="13"/>
  <c r="Y68" i="13"/>
  <c r="R69" i="4" a="1"/>
  <c r="R69" i="4" s="1"/>
  <c r="R74" i="4" s="1"/>
  <c r="R78" i="4" s="1"/>
  <c r="M192" i="6"/>
  <c r="M193" i="6" s="1"/>
  <c r="M194" i="6" s="1"/>
  <c r="M195" i="6" s="1"/>
  <c r="M196" i="6" s="1"/>
  <c r="M197" i="6" s="1"/>
  <c r="M198" i="6" s="1"/>
  <c r="M199" i="6" s="1"/>
  <c r="M200" i="6" s="1"/>
  <c r="M201" i="6" s="1"/>
  <c r="M202" i="6" s="1"/>
  <c r="M203" i="6" s="1"/>
  <c r="T69" i="13" s="1" a="1"/>
  <c r="T69" i="13" s="1"/>
  <c r="Q87" i="4" a="1"/>
  <c r="Q87" i="4" s="1"/>
  <c r="Q86" i="4" a="1"/>
  <c r="Q86" i="4" s="1"/>
  <c r="Q80" i="4" a="1"/>
  <c r="Q80" i="4" s="1"/>
  <c r="Q79" i="4"/>
  <c r="Q88" i="4" s="1" a="1"/>
  <c r="Q88" i="4" s="1"/>
  <c r="Z76" i="13"/>
  <c r="W76" i="13"/>
  <c r="I77" i="13"/>
  <c r="AC67" i="13" l="1"/>
  <c r="AK67" i="13" s="1" a="1"/>
  <c r="AK67" i="13" s="1"/>
  <c r="AI67" i="13" a="1"/>
  <c r="AI67" i="13" s="1"/>
  <c r="AB68" i="13"/>
  <c r="AJ68" i="13" s="1" a="1"/>
  <c r="AJ68" i="13" s="1"/>
  <c r="AA68" i="13"/>
  <c r="Y69" i="13"/>
  <c r="S69" i="4" a="1"/>
  <c r="S69" i="4" s="1"/>
  <c r="S74" i="4" s="1"/>
  <c r="S78" i="4" s="1"/>
  <c r="M204" i="6"/>
  <c r="M205" i="6" s="1"/>
  <c r="M206" i="6" s="1"/>
  <c r="M207" i="6" s="1"/>
  <c r="M208" i="6" s="1"/>
  <c r="M209" i="6" s="1"/>
  <c r="M210" i="6" s="1"/>
  <c r="M211" i="6" s="1"/>
  <c r="M212" i="6" s="1"/>
  <c r="M213" i="6" s="1"/>
  <c r="M214" i="6" s="1"/>
  <c r="M215" i="6" s="1"/>
  <c r="T70" i="13" s="1" a="1"/>
  <c r="T70" i="13" s="1"/>
  <c r="R87" i="4" a="1"/>
  <c r="R87" i="4" s="1"/>
  <c r="R80" i="4" a="1"/>
  <c r="R80" i="4" s="1"/>
  <c r="R86" i="4" a="1"/>
  <c r="R86" i="4" s="1"/>
  <c r="R79" i="4"/>
  <c r="R88" i="4" s="1" a="1"/>
  <c r="R88" i="4" s="1"/>
  <c r="I78" i="13"/>
  <c r="Z77" i="13"/>
  <c r="W77" i="13"/>
  <c r="AC68" i="13" l="1"/>
  <c r="AH68" i="13"/>
  <c r="AI68" i="13" a="1"/>
  <c r="AI68" i="13" s="1"/>
  <c r="AB69" i="13"/>
  <c r="AI69" i="13" s="1" a="1"/>
  <c r="AI69" i="13" s="1"/>
  <c r="AA69" i="13"/>
  <c r="AK68" i="13" a="1"/>
  <c r="AK68" i="13" s="1"/>
  <c r="AC69" i="13"/>
  <c r="S87" i="4" a="1"/>
  <c r="S87" i="4" s="1"/>
  <c r="S86" i="4" a="1"/>
  <c r="S86" i="4" s="1"/>
  <c r="S80" i="4" a="1"/>
  <c r="S80" i="4" s="1"/>
  <c r="S79" i="4"/>
  <c r="S88" i="4" s="1" a="1"/>
  <c r="S88" i="4" s="1"/>
  <c r="T69" i="4" a="1"/>
  <c r="T69" i="4" s="1"/>
  <c r="T74" i="4" s="1"/>
  <c r="T78" i="4" s="1"/>
  <c r="Y70" i="13"/>
  <c r="M216" i="6"/>
  <c r="M217" i="6" s="1"/>
  <c r="M218" i="6" s="1"/>
  <c r="M219" i="6" s="1"/>
  <c r="M220" i="6" s="1"/>
  <c r="M221" i="6" s="1"/>
  <c r="M222" i="6" s="1"/>
  <c r="M223" i="6" s="1"/>
  <c r="M224" i="6" s="1"/>
  <c r="M225" i="6" s="1"/>
  <c r="M226" i="6" s="1"/>
  <c r="M227" i="6" s="1"/>
  <c r="T71" i="13" s="1" a="1"/>
  <c r="T71" i="13" s="1"/>
  <c r="I79" i="13"/>
  <c r="Z78" i="13"/>
  <c r="W78" i="13"/>
  <c r="AH69" i="13" l="1"/>
  <c r="AJ69" i="13" a="1"/>
  <c r="AJ69" i="13" s="1"/>
  <c r="AB70" i="13"/>
  <c r="AI70" i="13" s="1" a="1"/>
  <c r="AI70" i="13" s="1"/>
  <c r="AA70" i="13"/>
  <c r="AH70" i="13"/>
  <c r="AJ70" i="13" a="1"/>
  <c r="AJ70" i="13" s="1"/>
  <c r="AK69" i="13" a="1"/>
  <c r="AK69" i="13" s="1"/>
  <c r="AC70" i="13"/>
  <c r="T86" i="4" a="1"/>
  <c r="T86" i="4" s="1"/>
  <c r="T80" i="4" a="1"/>
  <c r="T80" i="4" s="1"/>
  <c r="T87" i="4" a="1"/>
  <c r="T87" i="4" s="1"/>
  <c r="T79" i="4"/>
  <c r="T88" i="4" s="1" a="1"/>
  <c r="T88" i="4" s="1"/>
  <c r="U69" i="4" a="1"/>
  <c r="U69" i="4" s="1"/>
  <c r="U74" i="4" s="1"/>
  <c r="U78" i="4" s="1"/>
  <c r="Y71" i="13"/>
  <c r="M228" i="6"/>
  <c r="M229" i="6" s="1"/>
  <c r="M230" i="6" s="1"/>
  <c r="M231" i="6" s="1"/>
  <c r="M232" i="6" s="1"/>
  <c r="M233" i="6" s="1"/>
  <c r="M234" i="6" s="1"/>
  <c r="M235" i="6" s="1"/>
  <c r="M236" i="6" s="1"/>
  <c r="M237" i="6" s="1"/>
  <c r="M238" i="6" s="1"/>
  <c r="M239" i="6" s="1"/>
  <c r="T72" i="13" s="1" a="1"/>
  <c r="T72" i="13" s="1"/>
  <c r="Z79" i="13"/>
  <c r="W79" i="13"/>
  <c r="I80" i="13"/>
  <c r="AB71" i="13" l="1"/>
  <c r="AI71" i="13" s="1" a="1"/>
  <c r="AI71" i="13" s="1"/>
  <c r="AA71" i="13"/>
  <c r="AK70" i="13" a="1"/>
  <c r="AK70" i="13" s="1"/>
  <c r="AC71" i="13"/>
  <c r="Y72" i="13"/>
  <c r="V69" i="4" a="1"/>
  <c r="V69" i="4" s="1"/>
  <c r="V74" i="4" s="1"/>
  <c r="V78" i="4" s="1"/>
  <c r="M240" i="6"/>
  <c r="M241" i="6" s="1"/>
  <c r="M242" i="6" s="1"/>
  <c r="M243" i="6" s="1"/>
  <c r="M244" i="6" s="1"/>
  <c r="M245" i="6" s="1"/>
  <c r="M246" i="6" s="1"/>
  <c r="M247" i="6" s="1"/>
  <c r="M248" i="6" s="1"/>
  <c r="M249" i="6" s="1"/>
  <c r="M250" i="6" s="1"/>
  <c r="M251" i="6" s="1"/>
  <c r="T73" i="13" s="1" a="1"/>
  <c r="T73" i="13" s="1"/>
  <c r="U80" i="4" a="1"/>
  <c r="U80" i="4" s="1"/>
  <c r="U86" i="4" a="1"/>
  <c r="U86" i="4" s="1"/>
  <c r="U87" i="4" a="1"/>
  <c r="U87" i="4" s="1"/>
  <c r="U79" i="4"/>
  <c r="U88" i="4" s="1" a="1"/>
  <c r="U88" i="4" s="1"/>
  <c r="Z80" i="13"/>
  <c r="W80" i="13"/>
  <c r="I81" i="13"/>
  <c r="AH71" i="13" l="1"/>
  <c r="AJ71" i="13" a="1"/>
  <c r="AJ71" i="13" s="1"/>
  <c r="AB72" i="13"/>
  <c r="AI72" i="13" s="1" a="1"/>
  <c r="AI72" i="13" s="1"/>
  <c r="AA72" i="13"/>
  <c r="AK71" i="13" a="1"/>
  <c r="AK71" i="13" s="1"/>
  <c r="AC72" i="13"/>
  <c r="Y73" i="13"/>
  <c r="W69" i="4" a="1"/>
  <c r="W69" i="4" s="1"/>
  <c r="W74" i="4" s="1"/>
  <c r="W78" i="4" s="1"/>
  <c r="M252" i="6"/>
  <c r="M253" i="6" s="1"/>
  <c r="M254" i="6" s="1"/>
  <c r="M255" i="6" s="1"/>
  <c r="M256" i="6" s="1"/>
  <c r="M257" i="6" s="1"/>
  <c r="M258" i="6" s="1"/>
  <c r="M259" i="6" s="1"/>
  <c r="M260" i="6" s="1"/>
  <c r="M261" i="6" s="1"/>
  <c r="M262" i="6" s="1"/>
  <c r="M263" i="6" s="1"/>
  <c r="T74" i="13" s="1" a="1"/>
  <c r="T74" i="13" s="1"/>
  <c r="V87" i="4" a="1"/>
  <c r="V87" i="4" s="1"/>
  <c r="V86" i="4" a="1"/>
  <c r="V86" i="4" s="1"/>
  <c r="V80" i="4" a="1"/>
  <c r="V80" i="4" s="1"/>
  <c r="V79" i="4"/>
  <c r="V88" i="4" s="1" a="1"/>
  <c r="V88" i="4" s="1"/>
  <c r="Z81" i="13"/>
  <c r="W81" i="13"/>
  <c r="I82" i="13"/>
  <c r="AJ72" i="13" l="1" a="1"/>
  <c r="AJ72" i="13" s="1"/>
  <c r="AH72" i="13"/>
  <c r="AB73" i="13"/>
  <c r="AA73" i="13"/>
  <c r="AC73" i="13"/>
  <c r="AK72" i="13" a="1"/>
  <c r="AK72" i="13" s="1"/>
  <c r="AI73" i="13" a="1"/>
  <c r="AI73" i="13" s="1"/>
  <c r="AH73" i="13"/>
  <c r="AJ73" i="13" a="1"/>
  <c r="AJ73" i="13" s="1"/>
  <c r="X69" i="4" a="1"/>
  <c r="X69" i="4" s="1"/>
  <c r="X74" i="4" s="1"/>
  <c r="X78" i="4" s="1"/>
  <c r="Y74" i="13"/>
  <c r="M264" i="6"/>
  <c r="M265" i="6" s="1"/>
  <c r="M266" i="6" s="1"/>
  <c r="M267" i="6" s="1"/>
  <c r="M268" i="6" s="1"/>
  <c r="M269" i="6" s="1"/>
  <c r="M270" i="6" s="1"/>
  <c r="M271" i="6" s="1"/>
  <c r="M272" i="6" s="1"/>
  <c r="M273" i="6" s="1"/>
  <c r="M274" i="6" s="1"/>
  <c r="M275" i="6" s="1"/>
  <c r="T75" i="13" s="1" a="1"/>
  <c r="T75" i="13" s="1"/>
  <c r="W80" i="4" a="1"/>
  <c r="W80" i="4" s="1"/>
  <c r="N5" i="4" s="1" a="1"/>
  <c r="N5" i="4" s="1"/>
  <c r="W86" i="4" a="1"/>
  <c r="W86" i="4" s="1"/>
  <c r="W87" i="4" a="1"/>
  <c r="W87" i="4" s="1"/>
  <c r="N8" i="4" a="1"/>
  <c r="N8" i="4" s="1"/>
  <c r="W79" i="4"/>
  <c r="W88" i="4" s="1" a="1"/>
  <c r="W88" i="4" s="1"/>
  <c r="Z82" i="13"/>
  <c r="W82" i="13"/>
  <c r="I83" i="13"/>
  <c r="AB74" i="13" l="1"/>
  <c r="AI74" i="13" s="1" a="1"/>
  <c r="AI74" i="13" s="1"/>
  <c r="AA74" i="13"/>
  <c r="AK73" i="13" a="1"/>
  <c r="AK73" i="13" s="1"/>
  <c r="AC74" i="13"/>
  <c r="X86" i="4" a="1"/>
  <c r="X86" i="4" s="1"/>
  <c r="X87" i="4" a="1"/>
  <c r="X87" i="4" s="1"/>
  <c r="X80" i="4" a="1"/>
  <c r="X80" i="4" s="1"/>
  <c r="X79" i="4"/>
  <c r="X88" i="4" s="1" a="1"/>
  <c r="X88" i="4" s="1"/>
  <c r="Y75" i="13"/>
  <c r="Y69" i="4" a="1"/>
  <c r="Y69" i="4" s="1"/>
  <c r="Y74" i="4" s="1"/>
  <c r="Y78" i="4" s="1"/>
  <c r="M276" i="6"/>
  <c r="M277" i="6" s="1"/>
  <c r="M278" i="6" s="1"/>
  <c r="M279" i="6" s="1"/>
  <c r="M280" i="6" s="1"/>
  <c r="M281" i="6" s="1"/>
  <c r="M282" i="6" s="1"/>
  <c r="M283" i="6" s="1"/>
  <c r="M284" i="6" s="1"/>
  <c r="M285" i="6" s="1"/>
  <c r="M286" i="6" s="1"/>
  <c r="M287" i="6" s="1"/>
  <c r="T76" i="13" s="1" a="1"/>
  <c r="T76" i="13" s="1"/>
  <c r="Z83" i="13"/>
  <c r="W83" i="13"/>
  <c r="I84" i="13"/>
  <c r="AJ74" i="13" l="1" a="1"/>
  <c r="AJ74" i="13" s="1"/>
  <c r="AH74" i="13"/>
  <c r="AB75" i="13"/>
  <c r="AA75" i="13"/>
  <c r="AC75" i="13"/>
  <c r="AK74" i="13" a="1"/>
  <c r="AK74" i="13" s="1"/>
  <c r="AI75" i="13" a="1"/>
  <c r="AI75" i="13" s="1"/>
  <c r="AH75" i="13"/>
  <c r="AJ75" i="13" a="1"/>
  <c r="AJ75" i="13" s="1"/>
  <c r="Y86" i="4" a="1"/>
  <c r="Y86" i="4" s="1"/>
  <c r="Y80" i="4" a="1"/>
  <c r="Y80" i="4" s="1"/>
  <c r="Y87" i="4" a="1"/>
  <c r="Y87" i="4" s="1"/>
  <c r="Y79" i="4"/>
  <c r="Y88" i="4" s="1" a="1"/>
  <c r="Y88" i="4" s="1"/>
  <c r="Z69" i="4" a="1"/>
  <c r="Z69" i="4" s="1"/>
  <c r="Z74" i="4" s="1"/>
  <c r="Z78" i="4" s="1"/>
  <c r="Y76" i="13"/>
  <c r="M288" i="6"/>
  <c r="M289" i="6" s="1"/>
  <c r="M290" i="6" s="1"/>
  <c r="M291" i="6" s="1"/>
  <c r="M292" i="6" s="1"/>
  <c r="M293" i="6" s="1"/>
  <c r="M294" i="6" s="1"/>
  <c r="M295" i="6" s="1"/>
  <c r="M296" i="6" s="1"/>
  <c r="M297" i="6" s="1"/>
  <c r="M298" i="6" s="1"/>
  <c r="M299" i="6" s="1"/>
  <c r="T77" i="13" s="1" a="1"/>
  <c r="T77" i="13" s="1"/>
  <c r="I85" i="13"/>
  <c r="Z84" i="13"/>
  <c r="W84" i="13"/>
  <c r="AB76" i="13" l="1"/>
  <c r="AH76" i="13" s="1"/>
  <c r="AA76" i="13"/>
  <c r="AK75" i="13" a="1"/>
  <c r="AK75" i="13" s="1"/>
  <c r="AA69" i="4" a="1"/>
  <c r="AA69" i="4" s="1"/>
  <c r="AA74" i="4" s="1"/>
  <c r="AA78" i="4" s="1"/>
  <c r="Y77" i="13"/>
  <c r="M300" i="6"/>
  <c r="M301" i="6" s="1"/>
  <c r="M302" i="6" s="1"/>
  <c r="M303" i="6" s="1"/>
  <c r="M304" i="6" s="1"/>
  <c r="M305" i="6" s="1"/>
  <c r="M306" i="6" s="1"/>
  <c r="M307" i="6" s="1"/>
  <c r="M308" i="6" s="1"/>
  <c r="M309" i="6" s="1"/>
  <c r="M310" i="6" s="1"/>
  <c r="M311" i="6" s="1"/>
  <c r="T78" i="13" s="1" a="1"/>
  <c r="T78" i="13" s="1"/>
  <c r="Z80" i="4" a="1"/>
  <c r="Z80" i="4" s="1"/>
  <c r="Z87" i="4" a="1"/>
  <c r="Z87" i="4" s="1"/>
  <c r="Z86" i="4" a="1"/>
  <c r="Z86" i="4" s="1"/>
  <c r="Z79" i="4"/>
  <c r="Z88" i="4" s="1" a="1"/>
  <c r="Z88" i="4" s="1"/>
  <c r="Z85" i="13"/>
  <c r="W85" i="13"/>
  <c r="I86" i="13"/>
  <c r="AC76" i="13" l="1"/>
  <c r="AJ76" i="13" a="1"/>
  <c r="AJ76" i="13" s="1"/>
  <c r="AI76" i="13" a="1"/>
  <c r="AI76" i="13" s="1"/>
  <c r="AB77" i="13"/>
  <c r="AI77" i="13" s="1" a="1"/>
  <c r="AI77" i="13" s="1"/>
  <c r="AA77" i="13"/>
  <c r="AH77" i="13"/>
  <c r="AC77" i="13"/>
  <c r="AK76" i="13" a="1"/>
  <c r="AK76" i="13" s="1"/>
  <c r="Y78" i="13"/>
  <c r="AB69" i="4" a="1"/>
  <c r="AB69" i="4" s="1"/>
  <c r="AB74" i="4" s="1"/>
  <c r="AB78" i="4" s="1"/>
  <c r="M312" i="6"/>
  <c r="M313" i="6" s="1"/>
  <c r="M314" i="6" s="1"/>
  <c r="M315" i="6" s="1"/>
  <c r="M316" i="6" s="1"/>
  <c r="M317" i="6" s="1"/>
  <c r="M318" i="6" s="1"/>
  <c r="M319" i="6" s="1"/>
  <c r="M320" i="6" s="1"/>
  <c r="M321" i="6" s="1"/>
  <c r="M322" i="6" s="1"/>
  <c r="M323" i="6" s="1"/>
  <c r="T79" i="13" s="1" a="1"/>
  <c r="T79" i="13" s="1"/>
  <c r="AA86" i="4" a="1"/>
  <c r="AA86" i="4" s="1"/>
  <c r="AA80" i="4" a="1"/>
  <c r="AA80" i="4" s="1"/>
  <c r="AA87" i="4" a="1"/>
  <c r="AA87" i="4" s="1"/>
  <c r="AA79" i="4"/>
  <c r="AA88" i="4" s="1" a="1"/>
  <c r="AA88" i="4" s="1"/>
  <c r="I87" i="13"/>
  <c r="Z86" i="13"/>
  <c r="W86" i="13"/>
  <c r="AJ77" i="13" l="1" a="1"/>
  <c r="AJ77" i="13" s="1"/>
  <c r="AB78" i="13"/>
  <c r="AH78" i="13" s="1"/>
  <c r="AA78" i="13"/>
  <c r="AC78" i="13"/>
  <c r="AK77" i="13" a="1"/>
  <c r="AK77" i="13" s="1"/>
  <c r="Y79" i="13"/>
  <c r="AC69" i="4" a="1"/>
  <c r="AC69" i="4" s="1"/>
  <c r="AC74" i="4" s="1"/>
  <c r="AC78" i="4" s="1"/>
  <c r="M324" i="6"/>
  <c r="M325" i="6" s="1"/>
  <c r="M326" i="6" s="1"/>
  <c r="M327" i="6" s="1"/>
  <c r="M328" i="6" s="1"/>
  <c r="M329" i="6" s="1"/>
  <c r="M330" i="6" s="1"/>
  <c r="M331" i="6" s="1"/>
  <c r="M332" i="6" s="1"/>
  <c r="M333" i="6" s="1"/>
  <c r="M334" i="6" s="1"/>
  <c r="M335" i="6" s="1"/>
  <c r="T80" i="13" s="1" a="1"/>
  <c r="T80" i="13" s="1"/>
  <c r="AB86" i="4" a="1"/>
  <c r="AB86" i="4" s="1"/>
  <c r="AB80" i="4" a="1"/>
  <c r="AB80" i="4" s="1"/>
  <c r="AB87" i="4" a="1"/>
  <c r="AB87" i="4" s="1"/>
  <c r="AB79" i="4"/>
  <c r="AB88" i="4" s="1" a="1"/>
  <c r="AB88" i="4" s="1"/>
  <c r="I88" i="13"/>
  <c r="W87" i="13"/>
  <c r="Z87" i="13"/>
  <c r="AJ78" i="13" l="1" a="1"/>
  <c r="AJ78" i="13" s="1"/>
  <c r="AI78" i="13" a="1"/>
  <c r="AI78" i="13" s="1"/>
  <c r="AB79" i="13"/>
  <c r="AC79" i="13" s="1"/>
  <c r="AA79" i="13"/>
  <c r="AK78" i="13" a="1"/>
  <c r="AK78" i="13" s="1"/>
  <c r="AH79" i="13"/>
  <c r="AJ79" i="13" a="1"/>
  <c r="AJ79" i="13" s="1"/>
  <c r="AD69" i="4" a="1"/>
  <c r="AD69" i="4" s="1"/>
  <c r="AD74" i="4" s="1"/>
  <c r="AD78" i="4" s="1"/>
  <c r="Y80" i="13"/>
  <c r="M336" i="6"/>
  <c r="M337" i="6" s="1"/>
  <c r="M338" i="6" s="1"/>
  <c r="M339" i="6" s="1"/>
  <c r="M340" i="6" s="1"/>
  <c r="M341" i="6" s="1"/>
  <c r="M342" i="6" s="1"/>
  <c r="M343" i="6" s="1"/>
  <c r="M344" i="6" s="1"/>
  <c r="M345" i="6" s="1"/>
  <c r="M346" i="6" s="1"/>
  <c r="M347" i="6" s="1"/>
  <c r="T81" i="13" s="1" a="1"/>
  <c r="T81" i="13" s="1"/>
  <c r="AC87" i="4" a="1"/>
  <c r="AC87" i="4" s="1"/>
  <c r="AC86" i="4" a="1"/>
  <c r="AC86" i="4" s="1"/>
  <c r="AC80" i="4" a="1"/>
  <c r="AC80" i="4" s="1"/>
  <c r="AC79" i="4"/>
  <c r="AC88" i="4" s="1" a="1"/>
  <c r="AC88" i="4" s="1"/>
  <c r="I89" i="13"/>
  <c r="Z88" i="13"/>
  <c r="W88" i="13"/>
  <c r="AI79" i="13" l="1" a="1"/>
  <c r="AI79" i="13" s="1"/>
  <c r="AB80" i="13"/>
  <c r="AI80" i="13" s="1" a="1"/>
  <c r="AI80" i="13" s="1"/>
  <c r="AA80" i="13"/>
  <c r="AH80" i="13"/>
  <c r="AC80" i="13"/>
  <c r="AK79" i="13" a="1"/>
  <c r="AK79" i="13" s="1"/>
  <c r="AE69" i="4" a="1"/>
  <c r="AE69" i="4" s="1"/>
  <c r="AE74" i="4" s="1"/>
  <c r="AE78" i="4" s="1"/>
  <c r="Y81" i="13"/>
  <c r="M348" i="6"/>
  <c r="M349" i="6" s="1"/>
  <c r="M350" i="6" s="1"/>
  <c r="M351" i="6" s="1"/>
  <c r="M352" i="6" s="1"/>
  <c r="M353" i="6" s="1"/>
  <c r="M354" i="6" s="1"/>
  <c r="M355" i="6" s="1"/>
  <c r="M356" i="6" s="1"/>
  <c r="M357" i="6" s="1"/>
  <c r="M358" i="6" s="1"/>
  <c r="M359" i="6" s="1"/>
  <c r="T82" i="13" s="1" a="1"/>
  <c r="T82" i="13" s="1"/>
  <c r="AD87" i="4" a="1"/>
  <c r="AD87" i="4" s="1"/>
  <c r="AD80" i="4" a="1"/>
  <c r="AD80" i="4" s="1"/>
  <c r="AD86" i="4" a="1"/>
  <c r="AD86" i="4" s="1"/>
  <c r="AD79" i="4"/>
  <c r="AD88" i="4" s="1" a="1"/>
  <c r="AD88" i="4" s="1"/>
  <c r="I90" i="13"/>
  <c r="W89" i="13"/>
  <c r="Z89" i="13"/>
  <c r="AJ80" i="13" l="1" a="1"/>
  <c r="AJ80" i="13" s="1"/>
  <c r="AB81" i="13"/>
  <c r="AC81" i="13" s="1"/>
  <c r="AA81" i="13"/>
  <c r="AK80" i="13" a="1"/>
  <c r="AK80" i="13" s="1"/>
  <c r="AH81" i="13"/>
  <c r="AJ81" i="13" a="1"/>
  <c r="AJ81" i="13" s="1"/>
  <c r="Y82" i="13"/>
  <c r="AF69" i="4" a="1"/>
  <c r="AF69" i="4" s="1"/>
  <c r="AF74" i="4" s="1"/>
  <c r="AF78" i="4" s="1"/>
  <c r="M360" i="6"/>
  <c r="M361" i="6" s="1"/>
  <c r="M362" i="6" s="1"/>
  <c r="M363" i="6" s="1"/>
  <c r="M364" i="6" s="1"/>
  <c r="M365" i="6" s="1"/>
  <c r="M366" i="6" s="1"/>
  <c r="M367" i="6" s="1"/>
  <c r="M368" i="6" s="1"/>
  <c r="M369" i="6" s="1"/>
  <c r="M370" i="6" s="1"/>
  <c r="M371" i="6" s="1"/>
  <c r="T83" i="13" s="1" a="1"/>
  <c r="T83" i="13" s="1"/>
  <c r="AE86" i="4" a="1"/>
  <c r="AE86" i="4" s="1"/>
  <c r="AE87" i="4" a="1"/>
  <c r="AE87" i="4" s="1"/>
  <c r="AE80" i="4" a="1"/>
  <c r="AE80" i="4" s="1"/>
  <c r="AE79" i="4"/>
  <c r="AE88" i="4" s="1" a="1"/>
  <c r="AE88" i="4" s="1"/>
  <c r="I91" i="13"/>
  <c r="W90" i="13"/>
  <c r="Z90" i="13"/>
  <c r="AI81" i="13" l="1" a="1"/>
  <c r="AI81" i="13" s="1"/>
  <c r="AB82" i="13"/>
  <c r="AA82" i="13"/>
  <c r="AI82" i="13" a="1"/>
  <c r="AI82" i="13" s="1"/>
  <c r="AH82" i="13"/>
  <c r="AJ82" i="13" a="1"/>
  <c r="AJ82" i="13" s="1"/>
  <c r="AC82" i="13"/>
  <c r="AK81" i="13" a="1"/>
  <c r="AK81" i="13" s="1"/>
  <c r="AG69" i="4" a="1"/>
  <c r="AG69" i="4" s="1"/>
  <c r="AG74" i="4" s="1"/>
  <c r="AG78" i="4" s="1"/>
  <c r="Y83" i="13"/>
  <c r="M372" i="6"/>
  <c r="M373" i="6" s="1"/>
  <c r="M374" i="6" s="1"/>
  <c r="M375" i="6" s="1"/>
  <c r="M376" i="6" s="1"/>
  <c r="M377" i="6" s="1"/>
  <c r="M378" i="6" s="1"/>
  <c r="M379" i="6" s="1"/>
  <c r="M380" i="6" s="1"/>
  <c r="M381" i="6" s="1"/>
  <c r="M382" i="6" s="1"/>
  <c r="M383" i="6" s="1"/>
  <c r="T84" i="13" s="1" a="1"/>
  <c r="T84" i="13" s="1"/>
  <c r="AF87" i="4" a="1"/>
  <c r="AF87" i="4" s="1"/>
  <c r="AF80" i="4" a="1"/>
  <c r="AF80" i="4" s="1"/>
  <c r="AF86" i="4" a="1"/>
  <c r="AF86" i="4" s="1"/>
  <c r="AF79" i="4"/>
  <c r="AF88" i="4" s="1" a="1"/>
  <c r="AF88" i="4" s="1"/>
  <c r="I92" i="13"/>
  <c r="W91" i="13"/>
  <c r="Z91" i="13"/>
  <c r="AB83" i="13" l="1"/>
  <c r="AI83" i="13" s="1" a="1"/>
  <c r="AI83" i="13" s="1"/>
  <c r="AA83" i="13"/>
  <c r="AH83" i="13"/>
  <c r="AC83" i="13"/>
  <c r="AK82" i="13" a="1"/>
  <c r="AK82" i="13" s="1"/>
  <c r="Y84" i="13"/>
  <c r="AH69" i="4" a="1"/>
  <c r="AH69" i="4" s="1"/>
  <c r="AH74" i="4" s="1"/>
  <c r="AH78" i="4" s="1"/>
  <c r="M384" i="6"/>
  <c r="M385" i="6" s="1"/>
  <c r="M386" i="6" s="1"/>
  <c r="M387" i="6" s="1"/>
  <c r="M388" i="6" s="1"/>
  <c r="M389" i="6" s="1"/>
  <c r="M390" i="6" s="1"/>
  <c r="M391" i="6" s="1"/>
  <c r="M392" i="6" s="1"/>
  <c r="M393" i="6" s="1"/>
  <c r="M394" i="6" s="1"/>
  <c r="M395" i="6" s="1"/>
  <c r="T85" i="13" s="1" a="1"/>
  <c r="T85" i="13" s="1"/>
  <c r="AG80" i="4" a="1"/>
  <c r="AG80" i="4" s="1"/>
  <c r="AG87" i="4" a="1"/>
  <c r="AG87" i="4" s="1"/>
  <c r="AG86" i="4" a="1"/>
  <c r="AG86" i="4" s="1"/>
  <c r="AG79" i="4"/>
  <c r="AG88" i="4" s="1" a="1"/>
  <c r="AG88" i="4" s="1"/>
  <c r="I93" i="13"/>
  <c r="Z92" i="13"/>
  <c r="W92" i="13"/>
  <c r="AJ83" i="13" l="1" a="1"/>
  <c r="AJ83" i="13" s="1"/>
  <c r="AB84" i="13"/>
  <c r="AI84" i="13" s="1" a="1"/>
  <c r="AI84" i="13" s="1"/>
  <c r="AA84" i="13"/>
  <c r="AC84" i="13"/>
  <c r="AK83" i="13" a="1"/>
  <c r="AK83" i="13" s="1"/>
  <c r="Y85" i="13"/>
  <c r="AI69" i="4" a="1"/>
  <c r="AI69" i="4" s="1"/>
  <c r="AI74" i="4" s="1"/>
  <c r="AI78" i="4" s="1"/>
  <c r="M396" i="6"/>
  <c r="M397" i="6" s="1"/>
  <c r="M398" i="6" s="1"/>
  <c r="M399" i="6" s="1"/>
  <c r="M400" i="6" s="1"/>
  <c r="M401" i="6" s="1"/>
  <c r="M402" i="6" s="1"/>
  <c r="M403" i="6" s="1"/>
  <c r="M404" i="6" s="1"/>
  <c r="M405" i="6" s="1"/>
  <c r="M406" i="6" s="1"/>
  <c r="M407" i="6" s="1"/>
  <c r="T86" i="13" s="1" a="1"/>
  <c r="T86" i="13" s="1"/>
  <c r="AH87" i="4" a="1"/>
  <c r="AH87" i="4" s="1"/>
  <c r="AH80" i="4" a="1"/>
  <c r="AH80" i="4" s="1"/>
  <c r="AH86" i="4" a="1"/>
  <c r="AH86" i="4" s="1"/>
  <c r="AH79" i="4"/>
  <c r="AH88" i="4" s="1" a="1"/>
  <c r="AH88" i="4" s="1"/>
  <c r="I94" i="13"/>
  <c r="W93" i="13"/>
  <c r="Z93" i="13"/>
  <c r="AJ84" i="13" l="1" a="1"/>
  <c r="AJ84" i="13" s="1"/>
  <c r="AH84" i="13"/>
  <c r="AB85" i="13"/>
  <c r="AA85" i="13"/>
  <c r="AK84" i="13" a="1"/>
  <c r="AK84" i="13" s="1"/>
  <c r="AC85" i="13"/>
  <c r="AI85" i="13" a="1"/>
  <c r="AI85" i="13" s="1"/>
  <c r="AH85" i="13"/>
  <c r="AJ85" i="13" a="1"/>
  <c r="AJ85" i="13" s="1"/>
  <c r="AJ69" i="4" a="1"/>
  <c r="AJ69" i="4" s="1"/>
  <c r="AJ74" i="4" s="1"/>
  <c r="AJ78" i="4" s="1"/>
  <c r="Y86" i="13"/>
  <c r="M408" i="6"/>
  <c r="M409" i="6" s="1"/>
  <c r="M410" i="6" s="1"/>
  <c r="M411" i="6" s="1"/>
  <c r="M412" i="6" s="1"/>
  <c r="M413" i="6" s="1"/>
  <c r="M414" i="6" s="1"/>
  <c r="M415" i="6" s="1"/>
  <c r="M416" i="6" s="1"/>
  <c r="M417" i="6" s="1"/>
  <c r="M418" i="6" s="1"/>
  <c r="M419" i="6" s="1"/>
  <c r="T87" i="13" s="1" a="1"/>
  <c r="T87" i="13" s="1"/>
  <c r="AI80" i="4" a="1"/>
  <c r="AI80" i="4" s="1"/>
  <c r="AI87" i="4" a="1"/>
  <c r="AI87" i="4" s="1"/>
  <c r="AI86" i="4" a="1"/>
  <c r="AI86" i="4" s="1"/>
  <c r="AI79" i="4"/>
  <c r="AI88" i="4" s="1" a="1"/>
  <c r="AI88" i="4" s="1"/>
  <c r="I95" i="13"/>
  <c r="W94" i="13"/>
  <c r="Z94" i="13"/>
  <c r="AB86" i="13" l="1"/>
  <c r="AI86" i="13" s="1" a="1"/>
  <c r="AI86" i="13" s="1"/>
  <c r="AA86" i="13"/>
  <c r="AK85" i="13" a="1"/>
  <c r="AK85" i="13" s="1"/>
  <c r="Y87" i="13"/>
  <c r="AK69" i="4" a="1"/>
  <c r="AK69" i="4" s="1"/>
  <c r="AK74" i="4" s="1"/>
  <c r="AK78" i="4" s="1"/>
  <c r="M420" i="6"/>
  <c r="M421" i="6" s="1"/>
  <c r="M422" i="6" s="1"/>
  <c r="M423" i="6" s="1"/>
  <c r="M424" i="6" s="1"/>
  <c r="M425" i="6" s="1"/>
  <c r="M426" i="6" s="1"/>
  <c r="M427" i="6" s="1"/>
  <c r="M428" i="6" s="1"/>
  <c r="M429" i="6" s="1"/>
  <c r="M430" i="6" s="1"/>
  <c r="M431" i="6" s="1"/>
  <c r="T88" i="13" s="1" a="1"/>
  <c r="T88" i="13" s="1"/>
  <c r="AJ87" i="4" a="1"/>
  <c r="AJ87" i="4" s="1"/>
  <c r="AJ80" i="4" a="1"/>
  <c r="AJ80" i="4" s="1"/>
  <c r="AJ86" i="4" a="1"/>
  <c r="AJ86" i="4" s="1"/>
  <c r="AJ79" i="4"/>
  <c r="AJ88" i="4" s="1" a="1"/>
  <c r="AJ88" i="4" s="1"/>
  <c r="I96" i="13"/>
  <c r="W95" i="13"/>
  <c r="Z95" i="13"/>
  <c r="AJ86" i="13" l="1" a="1"/>
  <c r="AJ86" i="13" s="1"/>
  <c r="AC86" i="13"/>
  <c r="AH86" i="13"/>
  <c r="AB87" i="13"/>
  <c r="AA87" i="13"/>
  <c r="AI87" i="13" a="1"/>
  <c r="AI87" i="13" s="1"/>
  <c r="AH87" i="13"/>
  <c r="AJ87" i="13" a="1"/>
  <c r="AJ87" i="13" s="1"/>
  <c r="AC87" i="13"/>
  <c r="AK86" i="13" a="1"/>
  <c r="AK86" i="13" s="1"/>
  <c r="AL69" i="4" a="1"/>
  <c r="AL69" i="4" s="1"/>
  <c r="AL74" i="4" s="1"/>
  <c r="AL78" i="4" s="1"/>
  <c r="Y88" i="13"/>
  <c r="M432" i="6"/>
  <c r="M433" i="6" s="1"/>
  <c r="M434" i="6" s="1"/>
  <c r="M435" i="6" s="1"/>
  <c r="M436" i="6" s="1"/>
  <c r="M437" i="6" s="1"/>
  <c r="M438" i="6" s="1"/>
  <c r="M439" i="6" s="1"/>
  <c r="M440" i="6" s="1"/>
  <c r="M441" i="6" s="1"/>
  <c r="M442" i="6" s="1"/>
  <c r="M443" i="6" s="1"/>
  <c r="T89" i="13" s="1" a="1"/>
  <c r="T89" i="13" s="1"/>
  <c r="AK86" i="4" a="1"/>
  <c r="AK86" i="4" s="1"/>
  <c r="AK80" i="4" a="1"/>
  <c r="AK80" i="4" s="1"/>
  <c r="AK87" i="4" a="1"/>
  <c r="AK87" i="4" s="1"/>
  <c r="AK79" i="4"/>
  <c r="AK88" i="4" s="1" a="1"/>
  <c r="AK88" i="4" s="1"/>
  <c r="I97" i="13"/>
  <c r="W96" i="13"/>
  <c r="Z96" i="13"/>
  <c r="AB88" i="13" l="1"/>
  <c r="AC88" i="13" s="1"/>
  <c r="AA88" i="13"/>
  <c r="AK87" i="13" a="1"/>
  <c r="AK87" i="13" s="1"/>
  <c r="AM69" i="4" a="1"/>
  <c r="AM69" i="4" s="1"/>
  <c r="AM74" i="4" s="1"/>
  <c r="AM78" i="4" s="1"/>
  <c r="Y89" i="13"/>
  <c r="M444" i="6"/>
  <c r="M445" i="6" s="1"/>
  <c r="M446" i="6" s="1"/>
  <c r="M447" i="6" s="1"/>
  <c r="M448" i="6" s="1"/>
  <c r="M449" i="6" s="1"/>
  <c r="M450" i="6" s="1"/>
  <c r="M451" i="6" s="1"/>
  <c r="M452" i="6" s="1"/>
  <c r="M453" i="6" s="1"/>
  <c r="M454" i="6" s="1"/>
  <c r="M455" i="6" s="1"/>
  <c r="T90" i="13" s="1" a="1"/>
  <c r="T90" i="13" s="1"/>
  <c r="AL80" i="4" a="1"/>
  <c r="AL80" i="4" s="1"/>
  <c r="AL86" i="4" a="1"/>
  <c r="AL86" i="4" s="1"/>
  <c r="AL87" i="4" a="1"/>
  <c r="AL87" i="4" s="1"/>
  <c r="AL79" i="4"/>
  <c r="AL88" i="4" s="1" a="1"/>
  <c r="AL88" i="4" s="1"/>
  <c r="W97" i="13"/>
  <c r="Z97" i="13"/>
  <c r="I98" i="13"/>
  <c r="AI88" i="13" l="1" a="1"/>
  <c r="AI88" i="13" s="1"/>
  <c r="AJ88" i="13" a="1"/>
  <c r="AJ88" i="13" s="1"/>
  <c r="AH88" i="13"/>
  <c r="AB89" i="13"/>
  <c r="AI89" i="13" s="1" a="1"/>
  <c r="AI89" i="13" s="1"/>
  <c r="AA89" i="13"/>
  <c r="AK88" i="13" a="1"/>
  <c r="AK88" i="13" s="1"/>
  <c r="Y90" i="13"/>
  <c r="AN69" i="4" a="1"/>
  <c r="AN69" i="4" s="1"/>
  <c r="AN74" i="4" s="1"/>
  <c r="AN78" i="4" s="1"/>
  <c r="M456" i="6"/>
  <c r="M457" i="6" s="1"/>
  <c r="M458" i="6" s="1"/>
  <c r="M459" i="6" s="1"/>
  <c r="M460" i="6" s="1"/>
  <c r="M461" i="6" s="1"/>
  <c r="M462" i="6" s="1"/>
  <c r="M463" i="6" s="1"/>
  <c r="M464" i="6" s="1"/>
  <c r="M465" i="6" s="1"/>
  <c r="M466" i="6" s="1"/>
  <c r="M467" i="6" s="1"/>
  <c r="T91" i="13" s="1" a="1"/>
  <c r="T91" i="13" s="1"/>
  <c r="AM80" i="4" a="1"/>
  <c r="AM80" i="4" s="1"/>
  <c r="AM86" i="4" a="1"/>
  <c r="AM86" i="4" s="1"/>
  <c r="AM87" i="4" a="1"/>
  <c r="AM87" i="4" s="1"/>
  <c r="AM79" i="4"/>
  <c r="AM88" i="4" s="1" a="1"/>
  <c r="AM88" i="4" s="1"/>
  <c r="I99" i="13"/>
  <c r="W98" i="13"/>
  <c r="Z98" i="13"/>
  <c r="AC89" i="13" l="1"/>
  <c r="AJ89" i="13" a="1"/>
  <c r="AJ89" i="13" s="1"/>
  <c r="AH89" i="13"/>
  <c r="AB90" i="13"/>
  <c r="AA90" i="13"/>
  <c r="AC90" i="13"/>
  <c r="AK89" i="13" a="1"/>
  <c r="AK89" i="13" s="1"/>
  <c r="AI90" i="13" a="1"/>
  <c r="AI90" i="13" s="1"/>
  <c r="AH90" i="13"/>
  <c r="AJ90" i="13" a="1"/>
  <c r="AJ90" i="13" s="1"/>
  <c r="Y91" i="13"/>
  <c r="AO69" i="4" a="1"/>
  <c r="AO69" i="4" s="1"/>
  <c r="AO74" i="4" s="1"/>
  <c r="AO78" i="4" s="1"/>
  <c r="M468" i="6"/>
  <c r="M469" i="6" s="1"/>
  <c r="M470" i="6" s="1"/>
  <c r="M471" i="6" s="1"/>
  <c r="M472" i="6" s="1"/>
  <c r="M473" i="6" s="1"/>
  <c r="M474" i="6" s="1"/>
  <c r="M475" i="6" s="1"/>
  <c r="M476" i="6" s="1"/>
  <c r="M477" i="6" s="1"/>
  <c r="M478" i="6" s="1"/>
  <c r="M479" i="6" s="1"/>
  <c r="T92" i="13" s="1" a="1"/>
  <c r="T92" i="13" s="1"/>
  <c r="AN86" i="4" a="1"/>
  <c r="AN86" i="4" s="1"/>
  <c r="AN87" i="4" a="1"/>
  <c r="AN87" i="4" s="1"/>
  <c r="AN80" i="4" a="1"/>
  <c r="AN80" i="4" s="1"/>
  <c r="AN79" i="4"/>
  <c r="AN88" i="4" s="1" a="1"/>
  <c r="AN88" i="4" s="1"/>
  <c r="I100" i="13"/>
  <c r="Z99" i="13"/>
  <c r="W99" i="13"/>
  <c r="AB91" i="13" l="1"/>
  <c r="AI91" i="13" s="1" a="1"/>
  <c r="AI91" i="13" s="1"/>
  <c r="AA91" i="13"/>
  <c r="AH91" i="13"/>
  <c r="AC91" i="13"/>
  <c r="AK90" i="13" a="1"/>
  <c r="AK90" i="13" s="1"/>
  <c r="Y92" i="13"/>
  <c r="AP69" i="4" a="1"/>
  <c r="AP69" i="4" s="1"/>
  <c r="AP74" i="4" s="1"/>
  <c r="AP78" i="4" s="1"/>
  <c r="M480" i="6"/>
  <c r="M481" i="6" s="1"/>
  <c r="M482" i="6" s="1"/>
  <c r="M483" i="6" s="1"/>
  <c r="M484" i="6" s="1"/>
  <c r="M485" i="6" s="1"/>
  <c r="M486" i="6" s="1"/>
  <c r="M487" i="6" s="1"/>
  <c r="M488" i="6" s="1"/>
  <c r="M489" i="6" s="1"/>
  <c r="M490" i="6" s="1"/>
  <c r="M491" i="6" s="1"/>
  <c r="T93" i="13" s="1" a="1"/>
  <c r="T93" i="13" s="1"/>
  <c r="AO86" i="4" a="1"/>
  <c r="AO86" i="4" s="1"/>
  <c r="AO80" i="4" a="1"/>
  <c r="AO80" i="4" s="1"/>
  <c r="AO87" i="4" a="1"/>
  <c r="AO87" i="4" s="1"/>
  <c r="AO79" i="4"/>
  <c r="AO88" i="4" s="1" a="1"/>
  <c r="AO88" i="4" s="1"/>
  <c r="Z100" i="13"/>
  <c r="W100" i="13"/>
  <c r="I101" i="13"/>
  <c r="AJ91" i="13" l="1" a="1"/>
  <c r="AJ91" i="13" s="1"/>
  <c r="AB92" i="13"/>
  <c r="AI92" i="13" s="1" a="1"/>
  <c r="AI92" i="13" s="1"/>
  <c r="AA92" i="13"/>
  <c r="AK91" i="13" a="1"/>
  <c r="AK91" i="13" s="1"/>
  <c r="AQ69" i="4" a="1"/>
  <c r="AQ69" i="4" s="1"/>
  <c r="AQ74" i="4" s="1"/>
  <c r="AQ78" i="4" s="1"/>
  <c r="Y93" i="13"/>
  <c r="M492" i="6"/>
  <c r="M493" i="6" s="1"/>
  <c r="M494" i="6" s="1"/>
  <c r="M495" i="6" s="1"/>
  <c r="M496" i="6" s="1"/>
  <c r="M497" i="6" s="1"/>
  <c r="M498" i="6" s="1"/>
  <c r="M499" i="6" s="1"/>
  <c r="M500" i="6" s="1"/>
  <c r="M501" i="6" s="1"/>
  <c r="M502" i="6" s="1"/>
  <c r="M503" i="6" s="1"/>
  <c r="T94" i="13" s="1" a="1"/>
  <c r="T94" i="13" s="1"/>
  <c r="AP87" i="4" a="1"/>
  <c r="AP87" i="4" s="1"/>
  <c r="AP80" i="4" a="1"/>
  <c r="AP80" i="4" s="1"/>
  <c r="AP86" i="4" a="1"/>
  <c r="AP86" i="4" s="1"/>
  <c r="AP79" i="4"/>
  <c r="AP88" i="4" s="1" a="1"/>
  <c r="AP88" i="4" s="1"/>
  <c r="I103" i="13"/>
  <c r="I102" i="13"/>
  <c r="Z101" i="13"/>
  <c r="W101" i="13"/>
  <c r="AC92" i="13" l="1"/>
  <c r="AH92" i="13"/>
  <c r="AJ92" i="13" a="1"/>
  <c r="AJ92" i="13" s="1"/>
  <c r="AB93" i="13"/>
  <c r="AH93" i="13" s="1"/>
  <c r="AA93" i="13"/>
  <c r="AK92" i="13" a="1"/>
  <c r="AK92" i="13" s="1"/>
  <c r="AR69" i="4" a="1"/>
  <c r="AR69" i="4" s="1"/>
  <c r="AR74" i="4" s="1"/>
  <c r="AR78" i="4" s="1"/>
  <c r="Y94" i="13"/>
  <c r="M504" i="6"/>
  <c r="M505" i="6" s="1"/>
  <c r="M506" i="6" s="1"/>
  <c r="M507" i="6" s="1"/>
  <c r="M508" i="6" s="1"/>
  <c r="M509" i="6" s="1"/>
  <c r="M510" i="6" s="1"/>
  <c r="M511" i="6" s="1"/>
  <c r="M512" i="6" s="1"/>
  <c r="M513" i="6" s="1"/>
  <c r="M514" i="6" s="1"/>
  <c r="M515" i="6" s="1"/>
  <c r="T95" i="13" s="1" a="1"/>
  <c r="T95" i="13" s="1"/>
  <c r="AQ87" i="4" a="1"/>
  <c r="AQ87" i="4" s="1"/>
  <c r="AQ86" i="4" a="1"/>
  <c r="AQ86" i="4" s="1"/>
  <c r="AQ80" i="4" a="1"/>
  <c r="AQ80" i="4" s="1"/>
  <c r="AQ79" i="4"/>
  <c r="AQ88" i="4" s="1" a="1"/>
  <c r="AQ88" i="4" s="1"/>
  <c r="Z102" i="13"/>
  <c r="W102" i="13"/>
  <c r="Z103" i="13"/>
  <c r="W103" i="13"/>
  <c r="AJ93" i="13" l="1" a="1"/>
  <c r="AJ93" i="13" s="1"/>
  <c r="AC93" i="13"/>
  <c r="AI93" i="13" a="1"/>
  <c r="AI93" i="13" s="1"/>
  <c r="AB94" i="13"/>
  <c r="AC94" i="13" s="1"/>
  <c r="AA94" i="13"/>
  <c r="AK93" i="13" a="1"/>
  <c r="AK93" i="13" s="1"/>
  <c r="AI94" i="13" a="1"/>
  <c r="AI94" i="13" s="1"/>
  <c r="AH94" i="13"/>
  <c r="AJ94" i="13" a="1"/>
  <c r="AJ94" i="13" s="1"/>
  <c r="AS69" i="4" a="1"/>
  <c r="AS69" i="4" s="1"/>
  <c r="AS74" i="4" s="1"/>
  <c r="AS78" i="4" s="1"/>
  <c r="Y95" i="13"/>
  <c r="M516" i="6"/>
  <c r="M517" i="6" s="1"/>
  <c r="M518" i="6" s="1"/>
  <c r="M519" i="6" s="1"/>
  <c r="M520" i="6" s="1"/>
  <c r="M521" i="6" s="1"/>
  <c r="M522" i="6" s="1"/>
  <c r="M523" i="6" s="1"/>
  <c r="M524" i="6" s="1"/>
  <c r="M525" i="6" s="1"/>
  <c r="M526" i="6" s="1"/>
  <c r="M527" i="6" s="1"/>
  <c r="T96" i="13" s="1" a="1"/>
  <c r="T96" i="13" s="1"/>
  <c r="AR86" i="4" a="1"/>
  <c r="AR86" i="4" s="1"/>
  <c r="AR87" i="4" a="1"/>
  <c r="AR87" i="4" s="1"/>
  <c r="AR80" i="4" a="1"/>
  <c r="AR80" i="4" s="1"/>
  <c r="AR79" i="4"/>
  <c r="AR88" i="4" s="1" a="1"/>
  <c r="AR88" i="4" s="1"/>
  <c r="AB95" i="13" l="1"/>
  <c r="AI95" i="13" s="1" a="1"/>
  <c r="AI95" i="13" s="1"/>
  <c r="AA95" i="13"/>
  <c r="AH95" i="13"/>
  <c r="AC95" i="13"/>
  <c r="AK94" i="13" a="1"/>
  <c r="AK94" i="13" s="1"/>
  <c r="Y96" i="13"/>
  <c r="AT69" i="4" a="1"/>
  <c r="AT69" i="4" s="1"/>
  <c r="AT74" i="4" s="1"/>
  <c r="AT78" i="4" s="1"/>
  <c r="M528" i="6"/>
  <c r="M529" i="6" s="1"/>
  <c r="M530" i="6" s="1"/>
  <c r="M531" i="6" s="1"/>
  <c r="M532" i="6" s="1"/>
  <c r="M533" i="6" s="1"/>
  <c r="M534" i="6" s="1"/>
  <c r="M535" i="6" s="1"/>
  <c r="M536" i="6" s="1"/>
  <c r="M537" i="6" s="1"/>
  <c r="M538" i="6" s="1"/>
  <c r="M539" i="6" s="1"/>
  <c r="T97" i="13" s="1" a="1"/>
  <c r="T97" i="13" s="1"/>
  <c r="AS80" i="4" a="1"/>
  <c r="AS80" i="4" s="1"/>
  <c r="AS86" i="4" a="1"/>
  <c r="AS86" i="4" s="1"/>
  <c r="AS87" i="4" a="1"/>
  <c r="AS87" i="4" s="1"/>
  <c r="AS79" i="4"/>
  <c r="AS88" i="4" s="1" a="1"/>
  <c r="AS88" i="4" s="1"/>
  <c r="AJ95" i="13" l="1" a="1"/>
  <c r="AJ95" i="13" s="1"/>
  <c r="AB96" i="13"/>
  <c r="AI96" i="13" s="1" a="1"/>
  <c r="AI96" i="13" s="1"/>
  <c r="AA96" i="13"/>
  <c r="AH96" i="13"/>
  <c r="AC96" i="13"/>
  <c r="AK95" i="13" a="1"/>
  <c r="AK95" i="13" s="1"/>
  <c r="Y97" i="13"/>
  <c r="AU69" i="4" a="1"/>
  <c r="AU69" i="4" s="1"/>
  <c r="AU74" i="4" s="1"/>
  <c r="AU78" i="4" s="1"/>
  <c r="M540" i="6"/>
  <c r="M541" i="6" s="1"/>
  <c r="M542" i="6" s="1"/>
  <c r="M543" i="6" s="1"/>
  <c r="M544" i="6" s="1"/>
  <c r="M545" i="6" s="1"/>
  <c r="M546" i="6" s="1"/>
  <c r="M547" i="6" s="1"/>
  <c r="M548" i="6" s="1"/>
  <c r="M549" i="6" s="1"/>
  <c r="M550" i="6" s="1"/>
  <c r="M551" i="6" s="1"/>
  <c r="T98" i="13" s="1" a="1"/>
  <c r="T98" i="13" s="1"/>
  <c r="AT86" i="4" a="1"/>
  <c r="AT86" i="4" s="1"/>
  <c r="AT80" i="4" a="1"/>
  <c r="AT80" i="4" s="1"/>
  <c r="AT87" i="4" a="1"/>
  <c r="AT87" i="4" s="1"/>
  <c r="AT79" i="4"/>
  <c r="AT88" i="4" s="1" a="1"/>
  <c r="AT88" i="4" s="1"/>
  <c r="AJ96" i="13" l="1" a="1"/>
  <c r="AJ96" i="13" s="1"/>
  <c r="AB97" i="13"/>
  <c r="AI97" i="13" s="1" a="1"/>
  <c r="AI97" i="13" s="1"/>
  <c r="AA97" i="13"/>
  <c r="AK96" i="13" a="1"/>
  <c r="AK96" i="13" s="1"/>
  <c r="AC97" i="13"/>
  <c r="Y98" i="13"/>
  <c r="AV69" i="4" a="1"/>
  <c r="AV69" i="4" s="1"/>
  <c r="AV74" i="4" s="1"/>
  <c r="AV78" i="4" s="1"/>
  <c r="M552" i="6"/>
  <c r="M553" i="6" s="1"/>
  <c r="M554" i="6" s="1"/>
  <c r="M555" i="6" s="1"/>
  <c r="M556" i="6" s="1"/>
  <c r="M557" i="6" s="1"/>
  <c r="M558" i="6" s="1"/>
  <c r="M559" i="6" s="1"/>
  <c r="M560" i="6" s="1"/>
  <c r="M561" i="6" s="1"/>
  <c r="M562" i="6" s="1"/>
  <c r="M563" i="6" s="1"/>
  <c r="T99" i="13" s="1" a="1"/>
  <c r="T99" i="13" s="1"/>
  <c r="AU80" i="4" a="1"/>
  <c r="AU80" i="4" s="1"/>
  <c r="AU87" i="4" a="1"/>
  <c r="AU87" i="4" s="1"/>
  <c r="AU86" i="4" a="1"/>
  <c r="AU86" i="4" s="1"/>
  <c r="AU79" i="4"/>
  <c r="AU88" i="4" s="1" a="1"/>
  <c r="AU88" i="4" s="1"/>
  <c r="AJ97" i="13" l="1" a="1"/>
  <c r="AJ97" i="13" s="1"/>
  <c r="AH97" i="13"/>
  <c r="AB98" i="13"/>
  <c r="AA98" i="13"/>
  <c r="AI98" i="13" a="1"/>
  <c r="AI98" i="13" s="1"/>
  <c r="AH98" i="13"/>
  <c r="AJ98" i="13" a="1"/>
  <c r="AJ98" i="13" s="1"/>
  <c r="AK97" i="13" a="1"/>
  <c r="AK97" i="13" s="1"/>
  <c r="AC98" i="13"/>
  <c r="Y99" i="13"/>
  <c r="AW69" i="4" a="1"/>
  <c r="AW69" i="4" s="1"/>
  <c r="AW74" i="4" s="1"/>
  <c r="AW78" i="4" s="1"/>
  <c r="M564" i="6"/>
  <c r="M565" i="6" s="1"/>
  <c r="M566" i="6" s="1"/>
  <c r="M567" i="6" s="1"/>
  <c r="M568" i="6" s="1"/>
  <c r="M569" i="6" s="1"/>
  <c r="M570" i="6" s="1"/>
  <c r="M571" i="6" s="1"/>
  <c r="M572" i="6" s="1"/>
  <c r="M573" i="6" s="1"/>
  <c r="M574" i="6" s="1"/>
  <c r="M575" i="6" s="1"/>
  <c r="T100" i="13" s="1" a="1"/>
  <c r="T100" i="13" s="1"/>
  <c r="AV80" i="4" a="1"/>
  <c r="AV80" i="4" s="1"/>
  <c r="AV86" i="4" a="1"/>
  <c r="AV86" i="4" s="1"/>
  <c r="AV87" i="4" a="1"/>
  <c r="AV87" i="4" s="1"/>
  <c r="AV79" i="4"/>
  <c r="AV88" i="4" s="1" a="1"/>
  <c r="AV88" i="4" s="1"/>
  <c r="AB99" i="13" l="1"/>
  <c r="AA99" i="13"/>
  <c r="AC99" i="13"/>
  <c r="AK98" i="13" a="1"/>
  <c r="AK98" i="13" s="1"/>
  <c r="AI99" i="13" a="1"/>
  <c r="AI99" i="13" s="1"/>
  <c r="AH99" i="13"/>
  <c r="AJ99" i="13" a="1"/>
  <c r="AJ99" i="13" s="1"/>
  <c r="AX69" i="4" a="1"/>
  <c r="AX69" i="4" s="1"/>
  <c r="AX74" i="4" s="1"/>
  <c r="AX78" i="4" s="1"/>
  <c r="Y100" i="13"/>
  <c r="M576" i="6"/>
  <c r="M577" i="6" s="1"/>
  <c r="M578" i="6" s="1"/>
  <c r="M579" i="6" s="1"/>
  <c r="M580" i="6" s="1"/>
  <c r="M581" i="6" s="1"/>
  <c r="M582" i="6" s="1"/>
  <c r="M583" i="6" s="1"/>
  <c r="M584" i="6" s="1"/>
  <c r="M585" i="6" s="1"/>
  <c r="M586" i="6" s="1"/>
  <c r="M587" i="6" s="1"/>
  <c r="T101" i="13" s="1" a="1"/>
  <c r="T101" i="13" s="1"/>
  <c r="AW87" i="4" a="1"/>
  <c r="AW87" i="4" s="1"/>
  <c r="AW80" i="4" a="1"/>
  <c r="AW80" i="4" s="1"/>
  <c r="AW86" i="4" a="1"/>
  <c r="AW86" i="4" s="1"/>
  <c r="AW79" i="4"/>
  <c r="AW88" i="4" s="1" a="1"/>
  <c r="AW88" i="4" s="1"/>
  <c r="AB100" i="13" l="1"/>
  <c r="AA100" i="13"/>
  <c r="AI100" i="13" a="1"/>
  <c r="AI100" i="13" s="1"/>
  <c r="AH100" i="13"/>
  <c r="AJ100" i="13" a="1"/>
  <c r="AJ100" i="13" s="1"/>
  <c r="AC100" i="13"/>
  <c r="AK99" i="13" a="1"/>
  <c r="AK99" i="13" s="1"/>
  <c r="AY69" i="4" a="1"/>
  <c r="AY69" i="4" s="1"/>
  <c r="AY74" i="4" s="1"/>
  <c r="AY78" i="4" s="1"/>
  <c r="Y101" i="13"/>
  <c r="M588" i="6"/>
  <c r="M589" i="6" s="1"/>
  <c r="M590" i="6" s="1"/>
  <c r="M591" i="6" s="1"/>
  <c r="M592" i="6" s="1"/>
  <c r="M593" i="6" s="1"/>
  <c r="M594" i="6" s="1"/>
  <c r="M595" i="6" s="1"/>
  <c r="M596" i="6" s="1"/>
  <c r="M597" i="6" s="1"/>
  <c r="M598" i="6" s="1"/>
  <c r="M599" i="6" s="1"/>
  <c r="T102" i="13" s="1" a="1"/>
  <c r="T102" i="13" s="1"/>
  <c r="AX80" i="4" a="1"/>
  <c r="AX80" i="4" s="1"/>
  <c r="AX86" i="4" a="1"/>
  <c r="AX86" i="4" s="1"/>
  <c r="AX87" i="4" a="1"/>
  <c r="AX87" i="4" s="1"/>
  <c r="AX79" i="4"/>
  <c r="AX88" i="4" s="1" a="1"/>
  <c r="AX88" i="4" s="1"/>
  <c r="AB101" i="13" l="1"/>
  <c r="AI101" i="13" s="1" a="1"/>
  <c r="AI101" i="13" s="1"/>
  <c r="AA101" i="13"/>
  <c r="AH101" i="13"/>
  <c r="AK100" i="13" a="1"/>
  <c r="AK100" i="13" s="1"/>
  <c r="AC101" i="13"/>
  <c r="Y102" i="13"/>
  <c r="AZ69" i="4" a="1"/>
  <c r="AZ69" i="4" s="1"/>
  <c r="AZ74" i="4" s="1"/>
  <c r="AZ78" i="4" s="1"/>
  <c r="M600" i="6"/>
  <c r="M601" i="6" s="1"/>
  <c r="M602" i="6" s="1"/>
  <c r="M603" i="6" s="1"/>
  <c r="M604" i="6" s="1"/>
  <c r="M605" i="6" s="1"/>
  <c r="M606" i="6" s="1"/>
  <c r="M607" i="6" s="1"/>
  <c r="M608" i="6" s="1"/>
  <c r="M609" i="6" s="1"/>
  <c r="M610" i="6" s="1"/>
  <c r="M611" i="6" s="1"/>
  <c r="T103" i="13" s="1" a="1"/>
  <c r="T103" i="13" s="1"/>
  <c r="AY87" i="4" a="1"/>
  <c r="AY87" i="4" s="1"/>
  <c r="AY86" i="4" a="1"/>
  <c r="AY86" i="4" s="1"/>
  <c r="AY80" i="4" a="1"/>
  <c r="AY80" i="4" s="1"/>
  <c r="AY79" i="4"/>
  <c r="AY88" i="4" s="1" a="1"/>
  <c r="AY88" i="4" s="1"/>
  <c r="AJ101" i="13" l="1" a="1"/>
  <c r="AJ101" i="13" s="1"/>
  <c r="AB102" i="13"/>
  <c r="AI102" i="13" s="1" a="1"/>
  <c r="AI102" i="13" s="1"/>
  <c r="AA102" i="13"/>
  <c r="AH102" i="13"/>
  <c r="AC102" i="13"/>
  <c r="AK101" i="13" a="1"/>
  <c r="AK101" i="13" s="1"/>
  <c r="Y103" i="13"/>
  <c r="BA69" i="4" a="1"/>
  <c r="BA69" i="4" s="1"/>
  <c r="BA74" i="4" s="1"/>
  <c r="BA78" i="4" s="1"/>
  <c r="AZ80" i="4" a="1"/>
  <c r="AZ80" i="4" s="1"/>
  <c r="AZ87" i="4" a="1"/>
  <c r="AZ87" i="4" s="1"/>
  <c r="AZ86" i="4" a="1"/>
  <c r="AZ86" i="4" s="1"/>
  <c r="AZ79" i="4"/>
  <c r="AZ88" i="4" s="1" a="1"/>
  <c r="AZ88" i="4" s="1"/>
  <c r="AJ102" i="13" l="1" a="1"/>
  <c r="AJ102" i="13" s="1"/>
  <c r="AB103" i="13"/>
  <c r="AI103" i="13" s="1" a="1"/>
  <c r="AI103" i="13" s="1"/>
  <c r="AA103" i="13"/>
  <c r="AH103" i="13"/>
  <c r="AJ103" i="13" a="1"/>
  <c r="AJ103" i="13" s="1"/>
  <c r="M4" i="13" a="1"/>
  <c r="M4" i="13" s="1"/>
  <c r="M8" i="13" a="1"/>
  <c r="M8" i="13" s="1"/>
  <c r="N4" i="4" a="1"/>
  <c r="N4" i="4" s="1"/>
  <c r="AC103" i="13"/>
  <c r="AK102" i="13" a="1"/>
  <c r="AK102" i="13" s="1"/>
  <c r="BA86" i="4" a="1"/>
  <c r="BA86" i="4" s="1"/>
  <c r="BA80" i="4" a="1"/>
  <c r="BA80" i="4" s="1"/>
  <c r="BA87" i="4" a="1"/>
  <c r="BA87" i="4" s="1"/>
  <c r="BA79" i="4"/>
  <c r="BA88" i="4" s="1" a="1"/>
  <c r="BA88" i="4" s="1"/>
  <c r="N19" i="4" s="1" a="1"/>
  <c r="N19" i="4" s="1"/>
  <c r="M6" i="13" l="1"/>
  <c r="AK103" i="13" a="1"/>
  <c r="AK103" i="13" s="1"/>
  <c r="AC104" i="13"/>
  <c r="AK104" i="13" l="1" a="1"/>
  <c r="AK104" i="13" s="1"/>
  <c r="AC105" i="13"/>
  <c r="AC106" i="13" l="1"/>
  <c r="AK105" i="13" a="1"/>
  <c r="AK105" i="13" s="1"/>
  <c r="AK106" i="13" l="1" a="1"/>
  <c r="AK106" i="13" s="1"/>
  <c r="AC107" i="13"/>
  <c r="AK107" i="13" l="1" a="1"/>
  <c r="AK107" i="13" s="1"/>
  <c r="AC108" i="13"/>
  <c r="AK108" i="13" l="1" a="1"/>
  <c r="AK108" i="13" s="1"/>
  <c r="AC109" i="13"/>
  <c r="AK109" i="13" l="1" a="1"/>
  <c r="AK109" i="13" s="1"/>
  <c r="AC110" i="13"/>
  <c r="AK110" i="13" l="1" a="1"/>
  <c r="AK110" i="13" s="1"/>
  <c r="AC111" i="13"/>
  <c r="AK111" i="13" l="1" a="1"/>
  <c r="AK111" i="13" s="1"/>
  <c r="AC112" i="13"/>
  <c r="AK112" i="13" l="1" a="1"/>
  <c r="AK112" i="13" s="1"/>
  <c r="AC113" i="13"/>
  <c r="AK113" i="13" s="1" a="1"/>
  <c r="AK113" i="13" s="1"/>
  <c r="M14" i="1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Paweł Woldan</author>
  </authors>
  <commentList>
    <comment ref="D4" authorId="0" shapeId="0" xr:uid="{9BC85AE0-8327-4929-A9D0-E962F7FE88C6}">
      <text>
        <r>
          <rPr>
            <sz val="8"/>
            <color indexed="81"/>
            <rFont val="Tahoma"/>
            <family val="2"/>
            <charset val="238"/>
          </rPr>
          <t>Kalkulator zawsze zakłada sprzedaż nieruchomości na koniec Horyzontu Inwestycyjnego. Jeżeli nie planujesz sprzedaży nieruchmości wpisz 100 i w analizie bierz pod uwagę tylko wyniki z najmu.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52" authorId="0" shapeId="0" xr:uid="{7734A111-430B-4148-A4FC-4F2FD18A35B6}">
      <text>
        <r>
          <rPr>
            <sz val="8"/>
            <color indexed="81"/>
            <rFont val="Tahoma"/>
            <family val="2"/>
            <charset val="238"/>
          </rPr>
          <t>Jeżeli mały remont i duży remont są zaplanowane w tym samym roku to zakładamy że oba przedsięwzięcia dzieją się w tym samym czasie i razem trwają tyle ile duży remont.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N52" authorId="0" shapeId="0" xr:uid="{9C17363C-C876-48D6-8110-700422F2A1E4}">
      <text>
        <r>
          <rPr>
            <sz val="8"/>
            <color indexed="81"/>
            <rFont val="Tahoma"/>
            <family val="2"/>
            <charset val="238"/>
          </rPr>
          <t xml:space="preserve">Koszty remontu są rozliczane wg. cen na koniec danego roku. 
Inflacja z danego roku jest brana pod uwagę do obliczania kosztów kredytu.
</t>
        </r>
      </text>
    </comment>
    <comment ref="O52" authorId="0" shapeId="0" xr:uid="{6992CE5F-7AFE-4E52-A216-11FDF27C5E18}">
      <text>
        <r>
          <rPr>
            <sz val="8"/>
            <color indexed="81"/>
            <rFont val="Tahoma"/>
            <family val="2"/>
            <charset val="238"/>
          </rPr>
          <t>Koszty remontu są rozliczane wg. cen na koniec danego roku. 
Inflacja z danego roku jest brana pod uwagę do obliczania kosztów kredytu.</t>
        </r>
      </text>
    </comment>
    <comment ref="U52" authorId="0" shapeId="0" xr:uid="{C77DD60F-BB53-4251-AE36-2D22D6EA9494}">
      <text>
        <r>
          <rPr>
            <sz val="8"/>
            <color indexed="81"/>
            <rFont val="Tahoma"/>
            <family val="2"/>
            <charset val="238"/>
          </rPr>
          <t xml:space="preserve">Kalkualtor uwzględnia koszty ubezpieczenia mieszkania tylko podczas trwania kredytu.
</t>
        </r>
      </text>
    </comment>
    <comment ref="AH52" authorId="0" shapeId="0" xr:uid="{908857A8-62E0-4B92-83A8-CE883F051246}">
      <text>
        <r>
          <rPr>
            <sz val="8"/>
            <color indexed="81"/>
            <rFont val="Tahoma"/>
            <family val="2"/>
            <charset val="238"/>
          </rPr>
          <t>Założenie sprzedaży nieruchoości na koniec okresu inwestycyjnego. 
Wartość nieruchomości w roku w którym nie ma sprzedaży nieruchomości nie wpływa na przepływy pieniężne.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N54" authorId="0" shapeId="0" xr:uid="{55AD09AC-377E-4747-A70F-6273965787EF}">
      <text>
        <r>
          <rPr>
            <sz val="8"/>
            <color indexed="81"/>
            <rFont val="Tahoma"/>
            <family val="2"/>
            <charset val="238"/>
          </rPr>
          <t>W pierwszym roku mieszkanie jest wyremontowane po zakupie. Brak remontu "podczas najmu" w pierwszym roku inwestycji</t>
        </r>
      </text>
    </comment>
    <comment ref="O54" authorId="0" shapeId="0" xr:uid="{1D018E73-738C-4704-BF56-4EE8950D751D}">
      <text>
        <r>
          <rPr>
            <sz val="8"/>
            <color indexed="81"/>
            <rFont val="Tahoma"/>
            <family val="2"/>
            <charset val="238"/>
          </rPr>
          <t>W pierwszym roku mieszkanie jest wyremontowane po zakupie. Brak remontu "podczas najmu" w pierwszym roku inwestycji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<sst xmlns="http://schemas.openxmlformats.org/spreadsheetml/2006/main" count="374" uniqueCount="263">
  <si>
    <t>Kalkulator opłacalności inwestycji: zakup mieszkania na wynajem</t>
  </si>
  <si>
    <t>Kalkulator też służy do analizy opłacalności zakupu mieszkania na wynajem.</t>
  </si>
  <si>
    <t>Kalkulator składa się z 4 zakładek:</t>
  </si>
  <si>
    <r>
      <rPr>
        <b/>
        <sz val="11"/>
        <color rgb="FF000000"/>
        <rFont val="Aptos Narrow"/>
      </rPr>
      <t xml:space="preserve">Instrukcja </t>
    </r>
    <r>
      <rPr>
        <sz val="11"/>
        <color rgb="FF000000"/>
        <rFont val="Aptos Narrow"/>
      </rPr>
      <t>– przedstawia podstawowe informacje o kalkulatorze.</t>
    </r>
  </si>
  <si>
    <r>
      <rPr>
        <b/>
        <sz val="11"/>
        <color rgb="FF000000"/>
        <rFont val="Aptos Narrow"/>
      </rPr>
      <t xml:space="preserve">Podstawowe parametry </t>
    </r>
    <r>
      <rPr>
        <sz val="11"/>
        <color rgb="FF000000"/>
        <rFont val="Aptos Narrow"/>
      </rPr>
      <t>– zawiera tabelę, w której inwestor wprowadza podstawowe dane dotyczące zakupu nieruchomości.
W białych polach należy wpisać wartości „z ręki”. Pola pomarańczowe zawierają formuły obliczające wartości na podstawie wcześniej wprowadzonych danych. Można je edytować i również wpisać do nich wartości ręcznie.
Bardzo ważne jest, aby określić wartość mieszkania zgodnie z operatem szacunkowym oraz odpowiedzieć na pytanie, czy zakup będzie finansowany kredytem.</t>
    </r>
  </si>
  <si>
    <r>
      <rPr>
        <b/>
        <sz val="11"/>
        <color rgb="FF000000"/>
        <rFont val="Aptos Narrow"/>
        <scheme val="minor"/>
      </rPr>
      <t xml:space="preserve">Kredyt </t>
    </r>
    <r>
      <rPr>
        <sz val="11"/>
        <color rgb="FF000000"/>
        <rFont val="Aptos Narrow"/>
        <scheme val="minor"/>
      </rPr>
      <t>– inwestor uzupełnia tę zakładkę, jeśli na pytanie „Mieszkanie kupione na kredyt?” odpowiedział „Tak”.
Należy tu wpisać dane dotyczące kredytu finansującego zakup nieruchomości na wynajem. Do uzupełnienia są komórki z białym tłem.</t>
    </r>
  </si>
  <si>
    <r>
      <rPr>
        <b/>
        <sz val="11"/>
        <color rgb="FF000000"/>
        <rFont val="Aptos Narrow"/>
      </rPr>
      <t xml:space="preserve">Wyniki </t>
    </r>
    <r>
      <rPr>
        <sz val="11"/>
        <color rgb="FF000000"/>
        <rFont val="Aptos Narrow"/>
      </rPr>
      <t>– w tej zakładce inwestor określa parametry najmu. Znajduje się tu tabela wyników najmu do 50 lat.
Po określeniu horyzontu inwestycji w sekcji Podsumowanie inwestor zobaczy wyniki dla przewidywanego przez siebie okresu inwestycji.</t>
    </r>
  </si>
  <si>
    <t>Używając kalkulatora należy mieć na uwadze kilka podstawowych założeń:</t>
  </si>
  <si>
    <t>Kredyt w arkuszu jest kredytem o stałej racie i zmiennym oprocentowaniu.</t>
  </si>
  <si>
    <t>Poszczególne komórki w tabeli wyników oraz harmonogramie kredytu mogą być edytowane – można ręcznie zwiększyć inflację dla wybranego roku lub dostosować WIBOR 3M do rzeczywistych wartości.</t>
  </si>
  <si>
    <t>Kalkulator ma służyć jako pomoc w podjęciu decyzji, jednak nie należy opierać się wyłącznie na jego wynikach.</t>
  </si>
  <si>
    <t>Zastrzeżenia prawne</t>
  </si>
  <si>
    <t>Niniejszy kalkulator służy wyłącznie do celów informacyjnych. Nie stanowi porady inwestycyjnej, finansowej ani prawnej i nie powinien być traktowany jako podstawa do podejmowania decyzji inwestycyjnych.
Inwestowanie zawsze wiąże się z ryzykiem, w tym możliwością utraty części lub całości kapitału. Użytkownik kalkulatora ponosi pełną odpowiedzialność za swoje decyzje i zaleca się skonsultowanie się z doradcą finansowym przed podjęciem jakichkolwiek działań inwestycyjnych.</t>
  </si>
  <si>
    <t>Wyniki uzyskane przy użyciu tego kalkulatora są szacunkowe i oparte na założonych danych. Mogą różnić się od rzeczywistych warunków rynkowych. Nie udzielamy żadnych gwarancji dotyczących dokładności ani kompletności wyników kalkulacji.</t>
  </si>
  <si>
    <t>Kalkulator opłacalności inwestycji: zakup mieszkania na wynajem stanowi wyłączną własność intelektualną Domowik sp. z o.o.
Całość jego zawartości, w tym algorytmy, formuły, kod źródłowy i inne elementy, jest chroniona przepisami prawa autorskiego. Zabrania się kopiowania, rozpowszechniania, modyfikowania lub wykorzystywania kalkulatora w jakiejkolwiek formie bez pisemnej zgody Domowik sp. z o.o.</t>
  </si>
  <si>
    <t>Kalkulator jest dostępny wyłącznie do użytku osobistego i nie może być wykorzystywany w celach komercyjnych, kopiowany, sprzedawany ani udostępniany w jakiejkolwiek formie bez wyraźnej zgody właściciela.</t>
  </si>
  <si>
    <t>Domowik sp. z o.o. zastrzega sobie prawo do modyfikacji, aktualizacji lub usunięcia kalkulatora w dowolnym momencie, bez wcześniejszego powiadomienia użytkowników.</t>
  </si>
  <si>
    <t>Kalkulator wyników wynajmi mieszkania</t>
  </si>
  <si>
    <t xml:space="preserve">Koszty zakupu mieszkania </t>
  </si>
  <si>
    <t>Cena mieszkania</t>
  </si>
  <si>
    <t>Cena zakupu mieszkania. Jeżeli mieszkanie zostało odziedziczone wpisz 0.</t>
  </si>
  <si>
    <t>Podatek PCC %</t>
  </si>
  <si>
    <t>Podatek PCC kwotowo</t>
  </si>
  <si>
    <t>PCC od wpisu do hipoteki</t>
  </si>
  <si>
    <t>Taksa notarialna (maksymalna)</t>
  </si>
  <si>
    <t>Wzór oblicza najwyższą możliwą, jeżeli Twoja jest niższa wprowadź ręcznie</t>
  </si>
  <si>
    <t>VAT od Taksy notarialnej (23%)</t>
  </si>
  <si>
    <t>Liczy się automatycznie</t>
  </si>
  <si>
    <t>Wpis do księgi wieczystej</t>
  </si>
  <si>
    <t>Wprowadź faktycznie zapłaconą kwotę</t>
  </si>
  <si>
    <t>Koszt wyceny (operat)</t>
  </si>
  <si>
    <t>Prowizja pośrednika (brutto)</t>
  </si>
  <si>
    <t>Wprowadź faktycznie zapłaconą kwotę, lub wstaw 0 jeżeli nie ma kosztów pośrednika</t>
  </si>
  <si>
    <t>Wydatek na remontu po zakupie</t>
  </si>
  <si>
    <t>Wprawadź faktrycznie zapłaconą kwotę lub wstaw 0. Remont podwyższa wartość nieruchomości</t>
  </si>
  <si>
    <t>Wydatek na wyposażenia po zakupie</t>
  </si>
  <si>
    <t>Wprawadź faktrycznie zapłaconą kwotę lub wstaw 0. Wyposażenie nie podwyższa wartości nieruchomości</t>
  </si>
  <si>
    <t>Inne koszty</t>
  </si>
  <si>
    <t>Inne koszty które poniosleś zanim mieskanie zostało wynajęte</t>
  </si>
  <si>
    <t xml:space="preserve">Suma wydatków </t>
  </si>
  <si>
    <t>Suma wydatków poza ceną mieszkania i kosztem remontu</t>
  </si>
  <si>
    <t>Wartość nieruchmości po zakupie i remoncie</t>
  </si>
  <si>
    <t>Cena mieszkania + koszty remontu po zakupie. Jeżeli mieszkanie zostało odziedziczone wpisz ile warte jest mieszkanie, po ewentulanym remoncie, wg. wartości rynkowej</t>
  </si>
  <si>
    <t>Wartosć nieruchomości wg. wyceny</t>
  </si>
  <si>
    <t>Wprowadź kwotę z operatu, jest to podstawa to obliczenia ubezpieczenia mieszkania. Wpisz wartość nieruchmości po zakupie i remoncie jeżeli nie było operatu</t>
  </si>
  <si>
    <t>Mieszkanie kupione na kredyt?</t>
  </si>
  <si>
    <t>Tak</t>
  </si>
  <si>
    <t>Wydana gotówka</t>
  </si>
  <si>
    <t xml:space="preserve">Dane początkowe kredytu </t>
  </si>
  <si>
    <t xml:space="preserve">Harmonogram spłaty kredytu </t>
  </si>
  <si>
    <t>Total</t>
  </si>
  <si>
    <t>kwota kredytu</t>
  </si>
  <si>
    <t>Formuła zakłada 20% wkładu własnego. Kredyt na zakup oraz remont po zakupie</t>
  </si>
  <si>
    <t>Miesiąc kredytu</t>
  </si>
  <si>
    <t>Rok</t>
  </si>
  <si>
    <t>Data</t>
  </si>
  <si>
    <t>WIBOR3M</t>
  </si>
  <si>
    <t>Oprocentowanie</t>
  </si>
  <si>
    <t>Odsetki</t>
  </si>
  <si>
    <t>Kapitał</t>
  </si>
  <si>
    <t>Cała rata</t>
  </si>
  <si>
    <t>Nadpłata</t>
  </si>
  <si>
    <t>Kapitał pozostający do spłaty</t>
  </si>
  <si>
    <t>Wkład własny</t>
  </si>
  <si>
    <t>Wydatek na remont zaliczany jest do wkładu własnego</t>
  </si>
  <si>
    <t>Data pierwszej raty kredytu</t>
  </si>
  <si>
    <t>Kredyt na ile lat</t>
  </si>
  <si>
    <t>Wpisz liczbę lat na ile będzie brany kredyt</t>
  </si>
  <si>
    <t>Data ostatniej raty kredytu</t>
  </si>
  <si>
    <t>ilość rat</t>
  </si>
  <si>
    <t>Prowizja banku za udzielenie kredytu</t>
  </si>
  <si>
    <t>Wpisz % prowizji jaką pobieże bank za udzielenie kredytu</t>
  </si>
  <si>
    <t>Prowizja banku kwotowo</t>
  </si>
  <si>
    <t>Moższesz też tutaj wpisać prowizję kwotowo</t>
  </si>
  <si>
    <t>Marża Banku</t>
  </si>
  <si>
    <t>Wpisz % Marży banku w udzialanym kredycie</t>
  </si>
  <si>
    <t>Wpisz poziom WIBOR3M lub innego wskaźnika na podstawie którego wyliczane jest oprocentowanie kredytu. Wpisana tutaj wartość będzie zakładana przez cały okres kredytowania. Można ją zmienić dla poszczególnych miesięcy w Harmonogramie spłaty kredytu</t>
  </si>
  <si>
    <t>oprocentowanie</t>
  </si>
  <si>
    <t>Inne Koszty Kredytu</t>
  </si>
  <si>
    <t>Wpisz kwotę kosztów poniesionych w związku z zaciągnięciem kredytu nie ujętych w innych pozycjach</t>
  </si>
  <si>
    <t>Ubezpiczenie na życie %</t>
  </si>
  <si>
    <t>Wpisz podstawę wyliczania opłaty za ubezpieczenie na życie kredytobiorcy takiego instrumentu zabezpieczającego wymaga bank.</t>
  </si>
  <si>
    <t>Ubezpieczenie na życie w 1 roku</t>
  </si>
  <si>
    <t>Ubezpieczenie mieszkania %</t>
  </si>
  <si>
    <t>Wpisz podstawę wyliczania opłaty za ubezpieczenie mieszkania. Zakładamy że mieszkanie będzie co roku ubezpiczane bez względu na to czy kredyt jest spłacany czy został spłacony.</t>
  </si>
  <si>
    <t>Ubezpieczenie mieszkania</t>
  </si>
  <si>
    <t>Suma kosztów początkowych Inwestycji</t>
  </si>
  <si>
    <t>Wydana Gotówka</t>
  </si>
  <si>
    <t>Koszty Kredytu</t>
  </si>
  <si>
    <t>Koszty zakupu + koszty Kredytu</t>
  </si>
  <si>
    <t>Dane początkowe dotyczące wynajmu mieszkania</t>
  </si>
  <si>
    <t>Podsumownaie</t>
  </si>
  <si>
    <t>Horyzont Inwestycji</t>
  </si>
  <si>
    <t>Ile lat w przód chcesz przeanalizować? Maksymalny horyzont inwestycji to 50 lat</t>
  </si>
  <si>
    <t>Zysk netto całkowity na koniec horyzontu inwestycyjnego</t>
  </si>
  <si>
    <t>Przy założeniu że mieszkanie jest wynajmowane i sprzedane na koniec horyzontu inwestycyjnego</t>
  </si>
  <si>
    <t>IRR (wewnętrzna stopa zwrotu) wg. zysku netto</t>
  </si>
  <si>
    <t>Średnia stopa zwrotu z całej inwestycji (najem + sprzedaż na koniec) w horyzoncie czasowym</t>
  </si>
  <si>
    <t>Przychody z najmu</t>
  </si>
  <si>
    <t>Średnioroczna inflacja w całym okresie inwestycji</t>
  </si>
  <si>
    <t>Załóż jaka bedzie inflacja przez cały okres trwania inwestycji. Wartości dla poszczególnych lat można zmieniać w Tabeli wyników finansowych z tytułu najmu</t>
  </si>
  <si>
    <t>Wynik netto z najmu w horyzoncie inwestycji</t>
  </si>
  <si>
    <t>Nie brana jest pod uwagę wydana gotówka na zakup nieruchomości</t>
  </si>
  <si>
    <t>ROI w pierwszym roku inwestycji</t>
  </si>
  <si>
    <t xml:space="preserve">Zysk z najmu netto w stosunku do wszystkich kosztów poniesionych na inwestycję </t>
  </si>
  <si>
    <t xml:space="preserve">miesiące wynajmu w roku </t>
  </si>
  <si>
    <t>Załóż przez ile miesięcy będziesz wynajmować mieszkanie w roku w którym nie ma remontów ani niezaplanowanych przestojów. Pamiętaj że ostrożnościowe podejście powinno zakładać 1 miesiąc pustostanu w roku.</t>
  </si>
  <si>
    <t>ROE w pierwszym roku inwestycji</t>
  </si>
  <si>
    <t>Zysk z najmu netto w stosunku do gotówki wydanej przez inwestora</t>
  </si>
  <si>
    <t>Kwota czynszu dla właściciela w 1 roku inwestycji miesięcznie</t>
  </si>
  <si>
    <t>Za ile chcesz wynajć mieszkanie na początku inwestycji? Czyszn właściciela to kwota przychodu właściciela, bez opłat za media oraz do administracji budynku.</t>
  </si>
  <si>
    <t>Wartość nieruchomości na koniec horyzontu inwestycji</t>
  </si>
  <si>
    <t>Zmiana Odstępnego w czasie</t>
  </si>
  <si>
    <t>inflacyjnie</t>
  </si>
  <si>
    <t>Wskaż o jaki wskaźnik ma zmieniać się odstępne co roku podczas trwania inwestycji. Dla poszczególnych lat możesz zmienić odstępne w Tabeli wyników finansowych z tytułu najmu</t>
  </si>
  <si>
    <t>Zmiana wartości nieruchomości</t>
  </si>
  <si>
    <t>O ile więcej warta jest nieruchomość na koniec horyzontu Inwestycji</t>
  </si>
  <si>
    <t>Stały % zmiany stawki</t>
  </si>
  <si>
    <t>O taki % zmieni się kwota odstępnego</t>
  </si>
  <si>
    <t>Wynik na hipotetycznej transakcji sprzedaży nieruchomości</t>
  </si>
  <si>
    <t>Brane są pod uwagę koszty transakcyjne przy zakupie</t>
  </si>
  <si>
    <t>Stała kwota zmiany stawki</t>
  </si>
  <si>
    <t>O tyle co roku zmieni się kwota odstępnego</t>
  </si>
  <si>
    <t>Payback period (okres zwrotu wydanej gotówki w latach)</t>
  </si>
  <si>
    <t xml:space="preserve">Po ilu latach najmu inwestor odzyska zainwestowany kapitał </t>
  </si>
  <si>
    <t>Koszty Najmu</t>
  </si>
  <si>
    <t>Co ile lat mały remont</t>
  </si>
  <si>
    <t>Mały remont to lekkie odświerzenia, np. odmalowanie</t>
  </si>
  <si>
    <t>Czas trwania małego remontu (miesiące)</t>
  </si>
  <si>
    <t>Załóż ile miesięcy będzie trwać Mały remont, mieszkanie będzie wtedy puste</t>
  </si>
  <si>
    <t>Koszt małego remontu</t>
  </si>
  <si>
    <t>Ile kosztować będzie Mały remont, kwota wyrażona wg. dzisiejszych kosztów</t>
  </si>
  <si>
    <t>Jeżeli masz mieszkanie na wynajem we Wrocławiu Domowik chętnie się nim zajmie. Ty możesz zarabiać pasywnie a my zajmiemy się wszystkim.</t>
  </si>
  <si>
    <t>Co ile lat dużu remont</t>
  </si>
  <si>
    <t>Duży remont to np. remont łazienki, wymiana podłóg, wymiana instalacji.</t>
  </si>
  <si>
    <t>Czas trwania dużego remontu (miesiące)</t>
  </si>
  <si>
    <t>Załóż ile miesięcy będzie trwać Duży remont, mieszkanie będzie wtedy puste</t>
  </si>
  <si>
    <t>Kost dużego remontu</t>
  </si>
  <si>
    <t>Ile kosztować będzie Duży remont, kwota wyrażona wg. dzisiejszych kosztów.</t>
  </si>
  <si>
    <t xml:space="preserve">Napisz do nas na: </t>
  </si>
  <si>
    <t>kontakt@domowik.pl</t>
  </si>
  <si>
    <t>Wysokość czynszu do wspólnoty miesięcznie</t>
  </si>
  <si>
    <t>Czynsz należdy do administracji budynku na początku inwestycji</t>
  </si>
  <si>
    <t>Podatek od nieruchmości rocznie</t>
  </si>
  <si>
    <t>Inne koszty rocznie</t>
  </si>
  <si>
    <t>np. wymiana zamków po wyporadzce najemców, internet</t>
  </si>
  <si>
    <t>Koszty Zarządzania Najmem</t>
  </si>
  <si>
    <t>Koszty uwzględniają inflację</t>
  </si>
  <si>
    <t>Czy koszty mają być waloryzowane?</t>
  </si>
  <si>
    <t>Stawka podatku od przychodów do 100 tys.</t>
  </si>
  <si>
    <t>Staka podatku od przychodów powyżej 100 tys</t>
  </si>
  <si>
    <t>Zmiana wartości nieruchmości na przestrzeni lat</t>
  </si>
  <si>
    <t>Wskaż o jaki wskaźnik ma zmieniać się wartość nieruchomości co roku podczas trwania inwestycji. Dla poszczególnych lat możesz zmienić odstępne w Tabeli wyników finansowych z tytułu najmu</t>
  </si>
  <si>
    <t>Stały %</t>
  </si>
  <si>
    <t>O jaki % rocznie zmieni się wartość nieruchomości</t>
  </si>
  <si>
    <t>Stała kwota</t>
  </si>
  <si>
    <t>O jaką kwotę rocznie zmieni się wartość nieruchomości</t>
  </si>
  <si>
    <t>Tabela wyników finansowych z tytułu najmu</t>
  </si>
  <si>
    <t>Początek inwestycji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</si>
  <si>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</si>
  <si>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</si>
  <si>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</si>
  <si>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</si>
  <si>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</si>
  <si>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</si>
  <si>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</si>
  <si>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</si>
  <si>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</si>
  <si>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</si>
  <si>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</si>
  <si>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</si>
  <si>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</si>
  <si>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</si>
  <si>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</si>
  <si>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</si>
  <si>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</si>
  <si>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</si>
  <si>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</si>
  <si>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</si>
  <si>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</si>
  <si>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</si>
  <si>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</si>
  <si>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</si>
  <si>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</si>
  <si>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</si>
  <si>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</si>
  <si>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</si>
  <si>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</si>
  <si>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</si>
  <si>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</si>
  <si>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</si>
  <si>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</si>
  <si>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</si>
  <si>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</si>
  <si>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</si>
  <si>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</si>
  <si>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</si>
  <si>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</si>
  <si>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</si>
  <si>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</si>
  <si>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</si>
  <si>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</si>
  <si>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</si>
  <si>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</si>
  <si>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</si>
  <si>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</si>
  <si>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</si>
  <si>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</si>
  <si>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</si>
  <si>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Przychody z wynajmu</t>
  </si>
  <si>
    <t>Inflacja</t>
  </si>
  <si>
    <t>Stały % zmiany  stawki</t>
  </si>
  <si>
    <t>Miesięczna stawka wynajmu</t>
  </si>
  <si>
    <t>Liczba wynajętych miesięcy w roku</t>
  </si>
  <si>
    <t>Wydatki</t>
  </si>
  <si>
    <t>Cena mieszkania + remont początkowy</t>
  </si>
  <si>
    <t>Koszt zakupu</t>
  </si>
  <si>
    <t>Koszt zaciągnięcia kredytu</t>
  </si>
  <si>
    <t>Mały remont podczas najmu</t>
  </si>
  <si>
    <t>Duże remont podczas najmu</t>
  </si>
  <si>
    <t>Czynsz do administracji opłacany przez właściciela</t>
  </si>
  <si>
    <t>Rata kredytu: odsetki</t>
  </si>
  <si>
    <t>Rata kredytu: kapitał</t>
  </si>
  <si>
    <t>Rata kredytu</t>
  </si>
  <si>
    <t>Ubezpieczenie na życie</t>
  </si>
  <si>
    <t>Ubezpiczenie mieszkania</t>
  </si>
  <si>
    <t>Podatek od nieruchomości</t>
  </si>
  <si>
    <t>Zarząd</t>
  </si>
  <si>
    <t>Wydatki całkowite</t>
  </si>
  <si>
    <t>Podatek od przychodu</t>
  </si>
  <si>
    <t>Zysk netto rocznie</t>
  </si>
  <si>
    <t>Skumulowany Zysk netto z najmu</t>
  </si>
  <si>
    <t xml:space="preserve">Przepływy pieniężne w danym roku </t>
  </si>
  <si>
    <t>Zmiana wartość nieruchomości</t>
  </si>
  <si>
    <t>Zmiana wartości o wskazany poziom Inflacji</t>
  </si>
  <si>
    <t>Stały % zmiany warrtości</t>
  </si>
  <si>
    <t>Stała kwota zmiany wartości</t>
  </si>
  <si>
    <t>Wartość nieruchomości</t>
  </si>
  <si>
    <t>ROE z najmu</t>
  </si>
  <si>
    <t>ROI z najmu</t>
  </si>
  <si>
    <t>Payback period</t>
  </si>
  <si>
    <t>Podsumowanie</t>
  </si>
  <si>
    <t>Ile lat w przód chcesz przeanalizować? Maksymalny horyzont inwestycji to 100 lat</t>
  </si>
  <si>
    <t>Średnia stopa zwrotu z całej inwestycji (najem + sprzedaż na koniec) w horyzoncie czasowym. "Oprocentowanie netto (po podatku od przychodów kapitałowcych lokaty bankowej"</t>
  </si>
  <si>
    <t>Zysk z najmu netto w stosunku do wartości inwestycji (Koszty kredytu, zakupu + cena mieszkania)</t>
  </si>
  <si>
    <t>,</t>
  </si>
  <si>
    <t>Przychody</t>
  </si>
  <si>
    <t>Koszty najmu</t>
  </si>
  <si>
    <t>Wynik na najmie</t>
  </si>
  <si>
    <t>Inflacja2</t>
  </si>
  <si>
    <t>Wydatki związane z najmem całkowite</t>
  </si>
  <si>
    <t>Wszystkie Koszty</t>
  </si>
  <si>
    <t>Wynik z najmu netto rocznie</t>
  </si>
  <si>
    <t>Skumulowany wynik z najmu netto z najmu</t>
  </si>
  <si>
    <t>Inflacja3</t>
  </si>
  <si>
    <t>Początek Inwestycji</t>
  </si>
  <si>
    <t>Etykiety wierszy</t>
  </si>
  <si>
    <t>Suma z Wszystkie Koszty</t>
  </si>
  <si>
    <t>Suma z Rata kredytu</t>
  </si>
  <si>
    <t>Suma końcowa</t>
  </si>
  <si>
    <t>Lata Inwestycji</t>
  </si>
  <si>
    <t>Wynik z najmu netto w każdym roku</t>
  </si>
  <si>
    <t>Suma z Przychody z wynajmu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</si>
</sst>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#,##0.00\ &quot;zł&quot;;[Red]\-#,##0.00\ &quot;zł&quot;"/>
    <numFmt numFmtId="42" formatCode="_-* #,##0\ &quot;zł&quot;_-;\-* #,##0\ &quot;zł&quot;_-;_-* &quot;-&quot;\ &quot;zł&quot;_-;_-@_-"/>
    <numFmt numFmtId="43" formatCode="_-* #,##0.00_-;\-* #,##0.00_-;_-* &quot;-&quot;??_-;_-@_-"/>
    <numFmt numFmtId="164" formatCode="#,##0.00\ &quot;zł&quot;"/>
    <numFmt numFmtId="165" formatCode="0.0%"/>
    <numFmt numFmtId="166" formatCode="_-* #,##0_-;\-* #,##0_-;_-* &quot;-&quot;??_-;_-@_-"/>
    <numFmt numFmtId="167" formatCode="_-* #,##0\ &quot;zł&quot;_-;\-* #,##0\ &quot;zł&quot;_-;_-* &quot;-&quot;??\ &quot;zł&quot;_-;_-@_-"/>
    <numFmt numFmtId="168" formatCode="0.000"/>
    <numFmt numFmtId="169" formatCode="#,##0\ &quot;zł&quot;"/>
  </numFmts>
  <fonts count="44">
    <font>
      <sz val="11"/>
      <color theme="1"/>
      <name val="Aptos Narrow"/>
      <family val="2"/>
      <scheme val="minor"/>
    </font>
    <font>
      <sz val="11"/>
      <color theme="1"/>
      <name val="Aptos Narrow"/>
      <charset val="238"/>
      <scheme val="minor"/>
    </font>
    <font>
      <sz val="11"/>
      <color rgb="FF000000"/>
      <name val="Aptos Narrow"/>
      <family val="2"/>
      <scheme val="minor"/>
    </font>
    <font>
      <b/>
      <sz val="15"/>
      <color theme="3"/>
      <name val="Aptos Narrow"/>
      <charset val="238"/>
      <scheme val="minor"/>
    </font>
    <font>
      <b/>
      <sz val="13"/>
      <color theme="3"/>
      <name val="Aptos Narrow"/>
      <charset val="238"/>
      <scheme val="minor"/>
    </font>
    <font>
      <b/>
      <sz val="11"/>
      <color theme="3"/>
      <name val="Aptos Narrow"/>
      <charset val="238"/>
      <scheme val="minor"/>
    </font>
    <font>
      <sz val="11"/>
      <color rgb="FF9C5700"/>
      <name val="Aptos Narrow"/>
      <charset val="238"/>
      <scheme val="minor"/>
    </font>
    <font>
      <sz val="11"/>
      <color rgb="FF3F3F76"/>
      <name val="Aptos Narrow"/>
      <charset val="238"/>
      <scheme val="minor"/>
    </font>
    <font>
      <b/>
      <sz val="11"/>
      <color rgb="FF3F3F3F"/>
      <name val="Aptos Narrow"/>
      <charset val="238"/>
      <scheme val="minor"/>
    </font>
    <font>
      <i/>
      <sz val="11"/>
      <color rgb="FF7F7F7F"/>
      <name val="Aptos Narrow"/>
      <charset val="238"/>
      <scheme val="minor"/>
    </font>
    <font>
      <sz val="11"/>
      <color theme="1"/>
      <name val="Arial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1"/>
      <color rgb="FF000000"/>
      <name val="Aptos Narrow"/>
      <scheme val="minor"/>
    </font>
    <font>
      <sz val="11"/>
      <color rgb="FF000000"/>
      <name val="Aptos Narrow"/>
      <scheme val="minor"/>
    </font>
    <font>
      <b/>
      <sz val="11"/>
      <color rgb="FF000000"/>
      <name val="Aptos Narrow"/>
    </font>
    <font>
      <sz val="11"/>
      <color rgb="FF000000"/>
      <name val="Aptos Narrow"/>
    </font>
    <font>
      <sz val="16"/>
      <color rgb="FF242424"/>
      <name val="Aptos Narrow"/>
      <charset val="1"/>
    </font>
    <font>
      <u/>
      <sz val="16"/>
      <color theme="1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24"/>
      <color rgb="FF242424"/>
      <name val="Aptos Narrow"/>
      <charset val="1"/>
    </font>
    <font>
      <u/>
      <sz val="24"/>
      <color theme="10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color rgb="FF242424"/>
      <name val="Aptos Narrow"/>
      <charset val="1"/>
    </font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theme="1"/>
      <name val="Arial"/>
      <family val="2"/>
      <charset val="238"/>
    </font>
    <font>
      <b/>
      <sz val="13"/>
      <color theme="3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F0000"/>
      <name val="Arial"/>
      <family val="2"/>
      <charset val="238"/>
    </font>
    <font>
      <b/>
      <sz val="8"/>
      <color theme="3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9C5700"/>
      <name val="Arial"/>
      <family val="2"/>
      <charset val="238"/>
    </font>
    <font>
      <sz val="8"/>
      <color rgb="FF242424"/>
      <name val="Arial"/>
      <family val="2"/>
      <charset val="238"/>
    </font>
    <font>
      <sz val="8"/>
      <color indexed="81"/>
      <name val="Tahoma"/>
      <family val="2"/>
      <charset val="238"/>
    </font>
    <font>
      <b/>
      <sz val="8"/>
      <color theme="1"/>
      <name val="Arial"/>
      <family val="2"/>
      <charset val="238"/>
    </font>
    <font>
      <sz val="8"/>
      <color theme="4" tint="-0.249977111117893"/>
      <name val="Arial"/>
      <family val="2"/>
      <charset val="238"/>
    </font>
    <font>
      <b/>
      <sz val="8"/>
      <color theme="4" tint="-0.249977111117893"/>
      <name val="Arial"/>
      <family val="2"/>
      <charset val="238"/>
    </font>
    <font>
      <sz val="8"/>
      <color rgb="FF000000"/>
      <name val="Arial"/>
      <family val="2"/>
      <charset val="238"/>
    </font>
    <font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sz val="8"/>
      <name val="Arial"/>
      <family val="2"/>
      <charset val="238"/>
    </font>
    <font>
      <b/>
      <sz val="12"/>
      <color theme="1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theme="4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4"/>
      </top>
      <bottom/>
      <diagonal/>
    </border>
  </borders>
  <cellStyleXfs count="12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2" borderId="0" applyNumberFormat="0" applyBorder="0" applyAlignment="0" applyProtection="0"/>
    <xf numFmtId="0" fontId="7" fillId="3" borderId="4" applyNumberFormat="0" applyAlignment="0" applyProtection="0"/>
    <xf numFmtId="0" fontId="8" fillId="4" borderId="5" applyNumberFormat="0" applyAlignment="0" applyProtection="0"/>
    <xf numFmtId="0" fontId="9" fillId="0" borderId="0" applyNumberFormat="0" applyFill="0" applyBorder="0" applyAlignment="0" applyProtection="0"/>
    <xf numFmtId="0" fontId="1" fillId="5" borderId="0" applyNumberFormat="0" applyBorder="0" applyAlignment="0" applyProtection="0"/>
    <xf numFmtId="0" fontId="12" fillId="0" borderId="0" applyNumberFormat="0" applyFill="0" applyBorder="0" applyAlignment="0" applyProtection="0"/>
    <xf numFmtId="43" fontId="25" fillId="0" borderId="0" applyFont="0" applyFill="0" applyBorder="0" applyAlignment="0" applyProtection="0"/>
    <xf numFmtId="9" fontId="25" fillId="0" borderId="0" applyFont="0" applyFill="0" applyBorder="0" applyAlignment="0" applyProtection="0"/>
  </cellStyleXfs>
  <cellXfs count="326">
    <xf numFmtId="0" fontId="0" fillId="0" borderId="0" xfId="0"/>
    <xf numFmtId="9" fontId="0" fillId="0" borderId="0" xfId="0" applyNumberFormat="1"/>
    <xf numFmtId="10" fontId="0" fillId="0" borderId="0" xfId="0" applyNumberFormat="1"/>
    <xf numFmtId="1" fontId="0" fillId="0" borderId="0" xfId="0" applyNumberFormat="1"/>
    <xf numFmtId="3" fontId="0" fillId="0" borderId="0" xfId="0" applyNumberFormat="1"/>
    <xf numFmtId="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3" fontId="2" fillId="0" borderId="0" xfId="0" applyNumberFormat="1" applyFont="1"/>
    <xf numFmtId="0" fontId="2" fillId="0" borderId="0" xfId="0" applyFont="1" applyAlignment="1">
      <alignment wrapText="1"/>
    </xf>
    <xf numFmtId="9" fontId="2" fillId="0" borderId="0" xfId="0" applyNumberFormat="1" applyFont="1"/>
    <xf numFmtId="164" fontId="0" fillId="0" borderId="0" xfId="0" applyNumberFormat="1"/>
    <xf numFmtId="14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3" fontId="2" fillId="0" borderId="0" xfId="0" applyNumberFormat="1" applyFont="1" applyAlignment="1">
      <alignment wrapText="1"/>
    </xf>
    <xf numFmtId="165" fontId="0" fillId="0" borderId="0" xfId="0" applyNumberFormat="1"/>
    <xf numFmtId="165" fontId="2" fillId="0" borderId="0" xfId="0" applyNumberFormat="1" applyFont="1"/>
    <xf numFmtId="0" fontId="0" fillId="0" borderId="0" xfId="0" applyAlignment="1">
      <alignment horizontal="left" vertical="center" wrapText="1"/>
    </xf>
    <xf numFmtId="0" fontId="10" fillId="0" borderId="0" xfId="0" applyFont="1"/>
    <xf numFmtId="0" fontId="8" fillId="4" borderId="5" xfId="6"/>
    <xf numFmtId="9" fontId="8" fillId="4" borderId="5" xfId="6" applyNumberFormat="1"/>
    <xf numFmtId="0" fontId="5" fillId="0" borderId="3" xfId="3" applyFill="1"/>
    <xf numFmtId="0" fontId="5" fillId="0" borderId="0" xfId="3" applyFill="1" applyBorder="1"/>
    <xf numFmtId="4" fontId="8" fillId="4" borderId="5" xfId="6" applyNumberFormat="1"/>
    <xf numFmtId="3" fontId="8" fillId="4" borderId="5" xfId="6" applyNumberFormat="1"/>
    <xf numFmtId="0" fontId="7" fillId="6" borderId="6" xfId="5" applyFill="1" applyBorder="1"/>
    <xf numFmtId="4" fontId="7" fillId="6" borderId="6" xfId="5" applyNumberFormat="1" applyFill="1" applyBorder="1"/>
    <xf numFmtId="2" fontId="7" fillId="6" borderId="6" xfId="5" applyNumberFormat="1" applyFill="1" applyBorder="1"/>
    <xf numFmtId="0" fontId="7" fillId="6" borderId="4" xfId="5" applyFill="1"/>
    <xf numFmtId="10" fontId="7" fillId="6" borderId="4" xfId="5" applyNumberFormat="1" applyFill="1"/>
    <xf numFmtId="165" fontId="7" fillId="6" borderId="4" xfId="5" applyNumberFormat="1" applyFill="1"/>
    <xf numFmtId="10" fontId="8" fillId="4" borderId="5" xfId="6" applyNumberFormat="1"/>
    <xf numFmtId="0" fontId="11" fillId="0" borderId="0" xfId="0" applyFont="1"/>
    <xf numFmtId="164" fontId="11" fillId="0" borderId="0" xfId="0" applyNumberFormat="1" applyFont="1"/>
    <xf numFmtId="0" fontId="0" fillId="0" borderId="0" xfId="0" applyAlignment="1">
      <alignment horizontal="right"/>
    </xf>
    <xf numFmtId="0" fontId="11" fillId="0" borderId="0" xfId="0" applyFont="1" applyAlignment="1">
      <alignment horizontal="right"/>
    </xf>
    <xf numFmtId="0" fontId="1" fillId="0" borderId="6" xfId="8" applyFill="1" applyBorder="1"/>
    <xf numFmtId="4" fontId="1" fillId="0" borderId="6" xfId="8" applyNumberFormat="1" applyFill="1" applyBorder="1"/>
    <xf numFmtId="0" fontId="6" fillId="2" borderId="4" xfId="4" applyBorder="1"/>
    <xf numFmtId="0" fontId="6" fillId="2" borderId="0" xfId="4"/>
    <xf numFmtId="0" fontId="0" fillId="0" borderId="11" xfId="0" applyBorder="1"/>
    <xf numFmtId="0" fontId="0" fillId="0" borderId="7" xfId="0" applyBorder="1"/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4" fillId="0" borderId="2" xfId="2" applyFill="1"/>
    <xf numFmtId="0" fontId="3" fillId="0" borderId="1" xfId="1" applyFill="1"/>
    <xf numFmtId="0" fontId="4" fillId="0" borderId="0" xfId="2" applyFill="1" applyBorder="1"/>
    <xf numFmtId="0" fontId="10" fillId="7" borderId="0" xfId="0" applyFont="1" applyFill="1"/>
    <xf numFmtId="0" fontId="0" fillId="7" borderId="0" xfId="0" applyFill="1"/>
    <xf numFmtId="10" fontId="0" fillId="7" borderId="0" xfId="0" applyNumberFormat="1" applyFill="1"/>
    <xf numFmtId="0" fontId="3" fillId="0" borderId="1" xfId="1" applyFill="1" applyAlignment="1">
      <alignment wrapText="1"/>
    </xf>
    <xf numFmtId="4" fontId="1" fillId="8" borderId="6" xfId="8" applyNumberFormat="1" applyFill="1" applyBorder="1" applyAlignment="1">
      <alignment wrapText="1"/>
    </xf>
    <xf numFmtId="4" fontId="1" fillId="8" borderId="6" xfId="8" applyNumberFormat="1" applyFill="1" applyBorder="1"/>
    <xf numFmtId="0" fontId="0" fillId="0" borderId="0" xfId="0" applyAlignment="1">
      <alignment horizontal="center"/>
    </xf>
    <xf numFmtId="2" fontId="0" fillId="8" borderId="0" xfId="0" applyNumberFormat="1" applyFill="1"/>
    <xf numFmtId="0" fontId="7" fillId="8" borderId="4" xfId="5" applyFill="1"/>
    <xf numFmtId="0" fontId="17" fillId="0" borderId="0" xfId="0" applyFont="1"/>
    <xf numFmtId="0" fontId="0" fillId="0" borderId="0" xfId="0" applyAlignment="1">
      <alignment horizontal="left" indent="2"/>
    </xf>
    <xf numFmtId="0" fontId="0" fillId="0" borderId="0" xfId="0" applyAlignment="1">
      <alignment horizontal="left" wrapText="1" indent="2"/>
    </xf>
    <xf numFmtId="0" fontId="18" fillId="0" borderId="0" xfId="0" applyFont="1" applyAlignment="1">
      <alignment horizontal="right" vertical="top"/>
    </xf>
    <xf numFmtId="0" fontId="19" fillId="0" borderId="0" xfId="9" applyFont="1" applyAlignment="1">
      <alignment horizontal="left" vertical="top" wrapText="1"/>
    </xf>
    <xf numFmtId="0" fontId="20" fillId="0" borderId="0" xfId="0" applyFont="1" applyAlignment="1">
      <alignment vertical="top" wrapText="1"/>
    </xf>
    <xf numFmtId="3" fontId="0" fillId="7" borderId="0" xfId="0" applyNumberFormat="1" applyFill="1"/>
    <xf numFmtId="0" fontId="0" fillId="0" borderId="6" xfId="0" applyBorder="1"/>
    <xf numFmtId="0" fontId="7" fillId="6" borderId="14" xfId="5" applyFill="1" applyBorder="1"/>
    <xf numFmtId="14" fontId="7" fillId="6" borderId="14" xfId="5" applyNumberFormat="1" applyFill="1" applyBorder="1"/>
    <xf numFmtId="14" fontId="8" fillId="4" borderId="5" xfId="6" applyNumberFormat="1"/>
    <xf numFmtId="2" fontId="0" fillId="0" borderId="6" xfId="0" applyNumberFormat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0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2" fontId="0" fillId="0" borderId="0" xfId="0" applyNumberFormat="1" applyAlignment="1">
      <alignment vertical="center" wrapText="1"/>
    </xf>
    <xf numFmtId="164" fontId="0" fillId="0" borderId="0" xfId="0" applyNumberFormat="1" applyAlignment="1">
      <alignment vertical="center" wrapText="1"/>
    </xf>
    <xf numFmtId="4" fontId="0" fillId="0" borderId="0" xfId="0" applyNumberFormat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7" xfId="0" applyBorder="1"/>
    <xf numFmtId="0" fontId="0" fillId="0" borderId="9" xfId="0" applyBorder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13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9" fontId="0" fillId="0" borderId="12" xfId="0" applyNumberFormat="1" applyBorder="1" applyAlignment="1">
      <alignment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24" fillId="0" borderId="0" xfId="0" applyFont="1" applyAlignment="1">
      <alignment horizontal="right" vertical="center"/>
    </xf>
    <xf numFmtId="0" fontId="9" fillId="4" borderId="5" xfId="7" applyFill="1" applyBorder="1" applyAlignment="1">
      <alignment vertical="center"/>
    </xf>
    <xf numFmtId="4" fontId="9" fillId="4" borderId="5" xfId="7" applyNumberFormat="1" applyFill="1" applyBorder="1" applyAlignment="1">
      <alignment vertical="center"/>
    </xf>
    <xf numFmtId="0" fontId="4" fillId="0" borderId="2" xfId="2" applyFill="1" applyAlignment="1">
      <alignment wrapText="1"/>
    </xf>
    <xf numFmtId="4" fontId="0" fillId="0" borderId="0" xfId="0" applyNumberFormat="1"/>
    <xf numFmtId="0" fontId="23" fillId="0" borderId="0" xfId="0" applyFont="1" applyAlignment="1">
      <alignment vertical="top" wrapText="1"/>
    </xf>
    <xf numFmtId="43" fontId="0" fillId="7" borderId="0" xfId="10" applyFont="1" applyFill="1"/>
    <xf numFmtId="0" fontId="0" fillId="0" borderId="15" xfId="0" applyBorder="1"/>
    <xf numFmtId="0" fontId="28" fillId="0" borderId="3" xfId="3" applyFont="1" applyFill="1"/>
    <xf numFmtId="0" fontId="26" fillId="0" borderId="0" xfId="0" applyFont="1" applyAlignment="1">
      <alignment horizontal="left" vertical="top" wrapText="1"/>
    </xf>
    <xf numFmtId="0" fontId="7" fillId="6" borderId="29" xfId="5" applyFill="1" applyBorder="1"/>
    <xf numFmtId="2" fontId="0" fillId="0" borderId="29" xfId="0" applyNumberFormat="1" applyBorder="1"/>
    <xf numFmtId="0" fontId="0" fillId="0" borderId="15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7" xfId="0" applyBorder="1" applyAlignment="1">
      <alignment vertical="center"/>
    </xf>
    <xf numFmtId="43" fontId="0" fillId="0" borderId="0" xfId="10" applyFont="1" applyAlignment="1">
      <alignment horizontal="right"/>
    </xf>
    <xf numFmtId="0" fontId="0" fillId="0" borderId="0" xfId="0" applyAlignment="1">
      <alignment horizontal="center" vertical="center" wrapText="1"/>
    </xf>
    <xf numFmtId="43" fontId="11" fillId="0" borderId="0" xfId="10" applyFont="1" applyAlignment="1">
      <alignment horizontal="right"/>
    </xf>
    <xf numFmtId="43" fontId="0" fillId="0" borderId="0" xfId="10" applyFont="1"/>
    <xf numFmtId="43" fontId="11" fillId="0" borderId="0" xfId="10" applyFont="1"/>
    <xf numFmtId="9" fontId="0" fillId="7" borderId="0" xfId="10" applyNumberFormat="1" applyFont="1" applyFill="1"/>
    <xf numFmtId="9" fontId="0" fillId="7" borderId="0" xfId="0" applyNumberFormat="1" applyFill="1"/>
    <xf numFmtId="0" fontId="11" fillId="0" borderId="0" xfId="0" applyFont="1" applyAlignment="1">
      <alignment wrapText="1"/>
    </xf>
    <xf numFmtId="4" fontId="0" fillId="7" borderId="0" xfId="0" applyNumberFormat="1" applyFill="1"/>
    <xf numFmtId="43" fontId="0" fillId="0" borderId="0" xfId="0" applyNumberFormat="1"/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wrapText="1"/>
    </xf>
    <xf numFmtId="0" fontId="29" fillId="4" borderId="5" xfId="6" applyFont="1"/>
    <xf numFmtId="166" fontId="0" fillId="0" borderId="0" xfId="10" applyNumberFormat="1" applyFont="1"/>
    <xf numFmtId="0" fontId="30" fillId="0" borderId="0" xfId="0" applyFont="1"/>
    <xf numFmtId="4" fontId="20" fillId="0" borderId="0" xfId="0" applyNumberFormat="1" applyFont="1" applyAlignment="1">
      <alignment vertical="top" wrapText="1"/>
    </xf>
    <xf numFmtId="3" fontId="20" fillId="0" borderId="0" xfId="0" applyNumberFormat="1" applyFont="1" applyAlignment="1">
      <alignment vertical="top" wrapText="1"/>
    </xf>
    <xf numFmtId="3" fontId="12" fillId="0" borderId="0" xfId="9" applyNumberFormat="1" applyFill="1" applyAlignment="1">
      <alignment vertical="top"/>
    </xf>
    <xf numFmtId="0" fontId="31" fillId="0" borderId="2" xfId="2" applyFont="1" applyFill="1" applyAlignment="1">
      <alignment wrapText="1"/>
    </xf>
    <xf numFmtId="0" fontId="32" fillId="0" borderId="0" xfId="0" applyFont="1"/>
    <xf numFmtId="0" fontId="32" fillId="0" borderId="13" xfId="0" applyFont="1" applyBorder="1" applyAlignment="1">
      <alignment vertical="center"/>
    </xf>
    <xf numFmtId="0" fontId="32" fillId="0" borderId="20" xfId="0" applyFont="1" applyBorder="1" applyAlignment="1">
      <alignment vertical="center"/>
    </xf>
    <xf numFmtId="0" fontId="31" fillId="0" borderId="0" xfId="2" applyFont="1" applyFill="1" applyBorder="1"/>
    <xf numFmtId="3" fontId="32" fillId="0" borderId="0" xfId="0" applyNumberFormat="1" applyFont="1"/>
    <xf numFmtId="0" fontId="31" fillId="0" borderId="3" xfId="3" applyFont="1" applyFill="1"/>
    <xf numFmtId="0" fontId="32" fillId="0" borderId="9" xfId="0" applyFont="1" applyBorder="1" applyAlignment="1">
      <alignment vertical="center"/>
    </xf>
    <xf numFmtId="165" fontId="32" fillId="0" borderId="0" xfId="0" applyNumberFormat="1" applyFont="1" applyAlignment="1">
      <alignment vertical="center"/>
    </xf>
    <xf numFmtId="0" fontId="32" fillId="0" borderId="11" xfId="0" applyFont="1" applyBorder="1"/>
    <xf numFmtId="0" fontId="32" fillId="0" borderId="17" xfId="0" applyFont="1" applyBorder="1"/>
    <xf numFmtId="0" fontId="32" fillId="0" borderId="0" xfId="0" applyFont="1" applyAlignment="1">
      <alignment vertical="top" wrapText="1"/>
    </xf>
    <xf numFmtId="0" fontId="32" fillId="0" borderId="7" xfId="0" applyFont="1" applyBorder="1"/>
    <xf numFmtId="0" fontId="32" fillId="0" borderId="15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32" fillId="0" borderId="0" xfId="0" applyFont="1" applyAlignment="1">
      <alignment vertical="center" wrapText="1"/>
    </xf>
    <xf numFmtId="0" fontId="32" fillId="0" borderId="11" xfId="0" applyFont="1" applyBorder="1" applyAlignment="1">
      <alignment vertical="center"/>
    </xf>
    <xf numFmtId="9" fontId="32" fillId="0" borderId="12" xfId="0" applyNumberFormat="1" applyFont="1" applyBorder="1" applyAlignment="1">
      <alignment vertical="center"/>
    </xf>
    <xf numFmtId="0" fontId="34" fillId="0" borderId="0" xfId="0" applyFont="1" applyAlignment="1">
      <alignment horizontal="right" vertical="center"/>
    </xf>
    <xf numFmtId="0" fontId="33" fillId="2" borderId="0" xfId="4" applyFont="1"/>
    <xf numFmtId="10" fontId="32" fillId="0" borderId="0" xfId="0" applyNumberFormat="1" applyFont="1"/>
    <xf numFmtId="0" fontId="34" fillId="0" borderId="0" xfId="0" applyFont="1" applyAlignment="1">
      <alignment horizontal="right" vertical="top"/>
    </xf>
    <xf numFmtId="0" fontId="31" fillId="0" borderId="0" xfId="3" applyFont="1" applyFill="1" applyBorder="1"/>
    <xf numFmtId="167" fontId="32" fillId="0" borderId="0" xfId="0" applyNumberFormat="1" applyFont="1" applyAlignment="1">
      <alignment vertical="center"/>
    </xf>
    <xf numFmtId="167" fontId="32" fillId="0" borderId="10" xfId="0" applyNumberFormat="1" applyFont="1" applyBorder="1" applyAlignment="1">
      <alignment vertical="center"/>
    </xf>
    <xf numFmtId="0" fontId="32" fillId="0" borderId="48" xfId="0" applyFont="1" applyBorder="1"/>
    <xf numFmtId="3" fontId="32" fillId="0" borderId="48" xfId="0" applyNumberFormat="1" applyFont="1" applyBorder="1"/>
    <xf numFmtId="165" fontId="32" fillId="0" borderId="48" xfId="0" applyNumberFormat="1" applyFont="1" applyBorder="1"/>
    <xf numFmtId="43" fontId="32" fillId="0" borderId="0" xfId="10" applyFont="1"/>
    <xf numFmtId="9" fontId="32" fillId="0" borderId="0" xfId="0" applyNumberFormat="1" applyFont="1"/>
    <xf numFmtId="167" fontId="32" fillId="0" borderId="48" xfId="0" applyNumberFormat="1" applyFont="1" applyBorder="1"/>
    <xf numFmtId="0" fontId="32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vertical="center" wrapText="1"/>
    </xf>
    <xf numFmtId="0" fontId="37" fillId="0" borderId="49" xfId="0" applyFont="1" applyBorder="1" applyAlignment="1">
      <alignment horizontal="center"/>
    </xf>
    <xf numFmtId="43" fontId="37" fillId="0" borderId="48" xfId="10" applyFont="1" applyFill="1" applyBorder="1" applyAlignment="1">
      <alignment horizontal="right"/>
    </xf>
    <xf numFmtId="0" fontId="37" fillId="0" borderId="48" xfId="10" applyNumberFormat="1" applyFont="1" applyFill="1" applyBorder="1" applyAlignment="1">
      <alignment horizontal="right"/>
    </xf>
    <xf numFmtId="43" fontId="38" fillId="0" borderId="48" xfId="10" applyFont="1" applyFill="1" applyBorder="1" applyAlignment="1">
      <alignment horizontal="right"/>
    </xf>
    <xf numFmtId="43" fontId="37" fillId="0" borderId="48" xfId="10" applyFont="1" applyFill="1" applyBorder="1"/>
    <xf numFmtId="43" fontId="38" fillId="0" borderId="48" xfId="10" applyFont="1" applyFill="1" applyBorder="1"/>
    <xf numFmtId="42" fontId="37" fillId="0" borderId="48" xfId="0" applyNumberFormat="1" applyFont="1" applyBorder="1"/>
    <xf numFmtId="0" fontId="39" fillId="0" borderId="48" xfId="0" applyFont="1" applyBorder="1"/>
    <xf numFmtId="3" fontId="39" fillId="0" borderId="0" xfId="0" applyNumberFormat="1" applyFont="1"/>
    <xf numFmtId="42" fontId="32" fillId="0" borderId="48" xfId="0" applyNumberFormat="1" applyFont="1" applyBorder="1"/>
    <xf numFmtId="0" fontId="37" fillId="0" borderId="46" xfId="0" applyFont="1" applyBorder="1" applyAlignment="1">
      <alignment horizontal="center"/>
    </xf>
    <xf numFmtId="167" fontId="32" fillId="0" borderId="0" xfId="0" applyNumberFormat="1" applyFont="1"/>
    <xf numFmtId="167" fontId="39" fillId="0" borderId="0" xfId="0" applyNumberFormat="1" applyFont="1" applyAlignment="1">
      <alignment wrapText="1"/>
    </xf>
    <xf numFmtId="167" fontId="39" fillId="0" borderId="0" xfId="0" applyNumberFormat="1" applyFont="1"/>
    <xf numFmtId="167" fontId="32" fillId="0" borderId="47" xfId="0" applyNumberFormat="1" applyFont="1" applyBorder="1"/>
    <xf numFmtId="168" fontId="32" fillId="0" borderId="0" xfId="0" applyNumberFormat="1" applyFont="1"/>
    <xf numFmtId="167" fontId="37" fillId="0" borderId="48" xfId="10" applyNumberFormat="1" applyFont="1" applyFill="1" applyBorder="1" applyAlignment="1">
      <alignment horizontal="right"/>
    </xf>
    <xf numFmtId="0" fontId="37" fillId="0" borderId="48" xfId="0" applyFont="1" applyBorder="1"/>
    <xf numFmtId="10" fontId="32" fillId="0" borderId="48" xfId="11" applyNumberFormat="1" applyFont="1" applyBorder="1"/>
    <xf numFmtId="10" fontId="32" fillId="0" borderId="48" xfId="0" applyNumberFormat="1" applyFont="1" applyBorder="1"/>
    <xf numFmtId="169" fontId="32" fillId="0" borderId="48" xfId="0" applyNumberFormat="1" applyFont="1" applyBorder="1"/>
    <xf numFmtId="167" fontId="37" fillId="0" borderId="48" xfId="0" applyNumberFormat="1" applyFont="1" applyBorder="1"/>
    <xf numFmtId="0" fontId="0" fillId="0" borderId="0" xfId="0" pivotButton="1"/>
    <xf numFmtId="0" fontId="0" fillId="0" borderId="0" xfId="0" applyAlignment="1">
      <alignment horizontal="left"/>
    </xf>
    <xf numFmtId="167" fontId="0" fillId="0" borderId="0" xfId="0" applyNumberFormat="1"/>
    <xf numFmtId="0" fontId="32" fillId="0" borderId="38" xfId="0" applyFont="1" applyBorder="1"/>
    <xf numFmtId="0" fontId="32" fillId="0" borderId="39" xfId="0" applyFont="1" applyBorder="1"/>
    <xf numFmtId="0" fontId="43" fillId="0" borderId="39" xfId="0" applyFont="1" applyBorder="1" applyAlignment="1">
      <alignment horizontal="right"/>
    </xf>
    <xf numFmtId="43" fontId="43" fillId="0" borderId="40" xfId="10" applyFont="1" applyBorder="1"/>
    <xf numFmtId="0" fontId="32" fillId="0" borderId="41" xfId="0" applyFont="1" applyBorder="1"/>
    <xf numFmtId="0" fontId="43" fillId="0" borderId="42" xfId="0" applyFont="1" applyBorder="1"/>
    <xf numFmtId="0" fontId="43" fillId="0" borderId="0" xfId="0" applyFont="1" applyAlignment="1">
      <alignment horizontal="right"/>
    </xf>
    <xf numFmtId="165" fontId="43" fillId="0" borderId="42" xfId="0" applyNumberFormat="1" applyFont="1" applyBorder="1"/>
    <xf numFmtId="43" fontId="43" fillId="0" borderId="42" xfId="10" applyFont="1" applyBorder="1"/>
    <xf numFmtId="10" fontId="43" fillId="0" borderId="42" xfId="0" applyNumberFormat="1" applyFont="1" applyBorder="1"/>
    <xf numFmtId="167" fontId="43" fillId="0" borderId="42" xfId="0" applyNumberFormat="1" applyFont="1" applyBorder="1"/>
    <xf numFmtId="0" fontId="32" fillId="0" borderId="43" xfId="0" applyFont="1" applyBorder="1"/>
    <xf numFmtId="0" fontId="32" fillId="0" borderId="44" xfId="0" applyFont="1" applyBorder="1"/>
    <xf numFmtId="0" fontId="32" fillId="0" borderId="42" xfId="0" applyFont="1" applyBorder="1"/>
    <xf numFmtId="0" fontId="32" fillId="0" borderId="45" xfId="0" applyFont="1" applyBorder="1"/>
    <xf numFmtId="8" fontId="32" fillId="0" borderId="0" xfId="0" applyNumberFormat="1" applyFont="1"/>
    <xf numFmtId="0" fontId="27" fillId="0" borderId="0" xfId="0" applyFont="1"/>
    <xf numFmtId="0" fontId="32" fillId="0" borderId="0" xfId="0" applyFont="1" applyAlignment="1">
      <alignment horizontal="right"/>
    </xf>
    <xf numFmtId="0" fontId="32" fillId="0" borderId="41" xfId="0" applyFont="1" applyBorder="1" applyAlignment="1">
      <alignment vertical="center"/>
    </xf>
    <xf numFmtId="164" fontId="7" fillId="0" borderId="4" xfId="5" applyNumberFormat="1" applyFill="1"/>
    <xf numFmtId="0" fontId="6" fillId="2" borderId="0" xfId="4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32" fillId="0" borderId="9" xfId="0" applyFont="1" applyBorder="1" applyAlignment="1">
      <alignment horizontal="left" vertical="center"/>
    </xf>
    <xf numFmtId="0" fontId="32" fillId="0" borderId="7" xfId="0" applyFont="1" applyBorder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32" fillId="10" borderId="0" xfId="0" applyFont="1" applyFill="1" applyAlignment="1">
      <alignment horizontal="center"/>
    </xf>
    <xf numFmtId="0" fontId="0" fillId="0" borderId="0" xfId="0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0" fillId="0" borderId="29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0" borderId="33" xfId="0" applyBorder="1" applyAlignment="1">
      <alignment horizontal="right" vertical="center"/>
    </xf>
    <xf numFmtId="0" fontId="0" fillId="0" borderId="29" xfId="0" applyBorder="1" applyAlignment="1">
      <alignment horizontal="right" vertical="center"/>
    </xf>
    <xf numFmtId="10" fontId="13" fillId="0" borderId="29" xfId="0" applyNumberFormat="1" applyFont="1" applyBorder="1" applyAlignment="1">
      <alignment horizontal="center" vertical="center"/>
    </xf>
    <xf numFmtId="4" fontId="13" fillId="0" borderId="29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0" fontId="6" fillId="2" borderId="9" xfId="4" applyBorder="1" applyAlignment="1">
      <alignment horizontal="left" vertical="center"/>
    </xf>
    <xf numFmtId="0" fontId="6" fillId="2" borderId="0" xfId="4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9" fontId="0" fillId="0" borderId="6" xfId="0" applyNumberFormat="1" applyBorder="1" applyAlignment="1">
      <alignment horizontal="left" vertical="center" wrapText="1"/>
    </xf>
    <xf numFmtId="9" fontId="0" fillId="0" borderId="19" xfId="0" applyNumberFormat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165" fontId="0" fillId="0" borderId="15" xfId="0" applyNumberForma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3" fillId="0" borderId="38" xfId="0" applyFont="1" applyBorder="1" applyAlignment="1">
      <alignment horizontal="center" vertical="top" wrapText="1"/>
    </xf>
    <xf numFmtId="0" fontId="23" fillId="0" borderId="39" xfId="0" applyFont="1" applyBorder="1" applyAlignment="1">
      <alignment horizontal="center" vertical="top" wrapText="1"/>
    </xf>
    <xf numFmtId="0" fontId="23" fillId="0" borderId="40" xfId="0" applyFont="1" applyBorder="1" applyAlignment="1">
      <alignment horizontal="center" vertical="top" wrapText="1"/>
    </xf>
    <xf numFmtId="0" fontId="23" fillId="0" borderId="41" xfId="0" applyFont="1" applyBorder="1" applyAlignment="1">
      <alignment horizontal="center" vertical="top" wrapText="1"/>
    </xf>
    <xf numFmtId="0" fontId="23" fillId="0" borderId="0" xfId="0" applyFont="1" applyAlignment="1">
      <alignment horizontal="center" vertical="top" wrapText="1"/>
    </xf>
    <xf numFmtId="0" fontId="23" fillId="0" borderId="42" xfId="0" applyFont="1" applyBorder="1" applyAlignment="1">
      <alignment horizontal="center" vertical="top" wrapText="1"/>
    </xf>
    <xf numFmtId="0" fontId="0" fillId="0" borderId="11" xfId="0" applyBorder="1" applyAlignment="1">
      <alignment horizontal="left" vertical="center"/>
    </xf>
    <xf numFmtId="3" fontId="0" fillId="0" borderId="10" xfId="0" applyNumberFormat="1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/>
    </xf>
    <xf numFmtId="0" fontId="22" fillId="0" borderId="0" xfId="9" applyFont="1" applyFill="1" applyBorder="1" applyAlignment="1">
      <alignment horizontal="center" vertical="top" wrapText="1"/>
    </xf>
    <xf numFmtId="0" fontId="22" fillId="0" borderId="42" xfId="9" applyFont="1" applyFill="1" applyBorder="1" applyAlignment="1">
      <alignment horizontal="center" vertical="top" wrapText="1"/>
    </xf>
    <xf numFmtId="0" fontId="22" fillId="0" borderId="44" xfId="9" applyFont="1" applyFill="1" applyBorder="1" applyAlignment="1">
      <alignment horizontal="center" vertical="top" wrapText="1"/>
    </xf>
    <xf numFmtId="0" fontId="22" fillId="0" borderId="45" xfId="9" applyFont="1" applyFill="1" applyBorder="1" applyAlignment="1">
      <alignment horizontal="center" vertical="top" wrapText="1"/>
    </xf>
    <xf numFmtId="0" fontId="0" fillId="0" borderId="18" xfId="0" applyBorder="1" applyAlignment="1">
      <alignment horizontal="left" vertical="center" wrapText="1"/>
    </xf>
    <xf numFmtId="0" fontId="0" fillId="0" borderId="6" xfId="0" applyBorder="1" applyAlignment="1">
      <alignment horizontal="left"/>
    </xf>
    <xf numFmtId="0" fontId="0" fillId="0" borderId="33" xfId="0" applyBorder="1" applyAlignment="1">
      <alignment horizontal="right" vertical="center" wrapText="1"/>
    </xf>
    <xf numFmtId="0" fontId="0" fillId="0" borderId="29" xfId="0" applyBorder="1" applyAlignment="1">
      <alignment horizontal="right" vertical="center" wrapText="1"/>
    </xf>
    <xf numFmtId="0" fontId="0" fillId="0" borderId="35" xfId="0" applyBorder="1" applyAlignment="1">
      <alignment horizontal="right" vertical="center" wrapText="1"/>
    </xf>
    <xf numFmtId="0" fontId="0" fillId="0" borderId="36" xfId="0" applyBorder="1" applyAlignment="1">
      <alignment horizontal="right" vertical="center" wrapText="1"/>
    </xf>
    <xf numFmtId="0" fontId="13" fillId="0" borderId="29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9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29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6" fillId="2" borderId="0" xfId="4" applyBorder="1" applyAlignment="1">
      <alignment horizontal="left" vertical="center"/>
    </xf>
    <xf numFmtId="9" fontId="0" fillId="0" borderId="21" xfId="0" applyNumberFormat="1" applyBorder="1" applyAlignment="1">
      <alignment horizontal="left" vertical="center" wrapText="1"/>
    </xf>
    <xf numFmtId="9" fontId="0" fillId="0" borderId="22" xfId="0" applyNumberFormat="1" applyBorder="1" applyAlignment="1">
      <alignment horizontal="left" vertical="center" wrapText="1"/>
    </xf>
    <xf numFmtId="9" fontId="0" fillId="0" borderId="23" xfId="0" applyNumberFormat="1" applyBorder="1" applyAlignment="1">
      <alignment horizontal="left" vertical="center" wrapText="1"/>
    </xf>
    <xf numFmtId="9" fontId="0" fillId="0" borderId="24" xfId="0" applyNumberFormat="1" applyBorder="1" applyAlignment="1">
      <alignment horizontal="left" vertical="center" wrapText="1"/>
    </xf>
    <xf numFmtId="9" fontId="0" fillId="0" borderId="25" xfId="0" applyNumberFormat="1" applyBorder="1" applyAlignment="1">
      <alignment horizontal="left" vertical="center" wrapText="1"/>
    </xf>
    <xf numFmtId="9" fontId="0" fillId="0" borderId="26" xfId="0" applyNumberFormat="1" applyBorder="1" applyAlignment="1">
      <alignment horizontal="left" vertical="center" wrapText="1"/>
    </xf>
    <xf numFmtId="9" fontId="0" fillId="0" borderId="27" xfId="0" applyNumberFormat="1" applyBorder="1" applyAlignment="1">
      <alignment horizontal="left" vertical="center" wrapText="1"/>
    </xf>
    <xf numFmtId="9" fontId="0" fillId="0" borderId="28" xfId="0" applyNumberFormat="1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30" xfId="0" applyBorder="1" applyAlignment="1">
      <alignment horizontal="right" vertical="center" wrapText="1"/>
    </xf>
    <xf numFmtId="0" fontId="0" fillId="0" borderId="31" xfId="0" applyBorder="1" applyAlignment="1">
      <alignment horizontal="right" vertical="center" wrapText="1"/>
    </xf>
    <xf numFmtId="164" fontId="13" fillId="0" borderId="31" xfId="0" applyNumberFormat="1" applyFont="1" applyBorder="1" applyAlignment="1">
      <alignment horizontal="center" vertical="center"/>
    </xf>
    <xf numFmtId="0" fontId="0" fillId="0" borderId="33" xfId="0" applyBorder="1" applyAlignment="1">
      <alignment horizontal="right" wrapText="1"/>
    </xf>
    <xf numFmtId="0" fontId="0" fillId="0" borderId="29" xfId="0" applyBorder="1" applyAlignment="1">
      <alignment horizontal="right" wrapText="1"/>
    </xf>
    <xf numFmtId="10" fontId="13" fillId="0" borderId="29" xfId="10" applyNumberFormat="1" applyFont="1" applyFill="1" applyBorder="1" applyAlignment="1">
      <alignment horizontal="center" vertical="center"/>
    </xf>
    <xf numFmtId="164" fontId="13" fillId="0" borderId="29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16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21" fillId="0" borderId="41" xfId="0" applyFont="1" applyBorder="1" applyAlignment="1">
      <alignment horizontal="center" vertical="top"/>
    </xf>
    <xf numFmtId="0" fontId="21" fillId="0" borderId="0" xfId="0" applyFont="1" applyAlignment="1">
      <alignment horizontal="center" vertical="top"/>
    </xf>
    <xf numFmtId="0" fontId="21" fillId="0" borderId="43" xfId="0" applyFont="1" applyBorder="1" applyAlignment="1">
      <alignment horizontal="center" vertical="top"/>
    </xf>
    <xf numFmtId="0" fontId="21" fillId="0" borderId="44" xfId="0" applyFont="1" applyBorder="1" applyAlignment="1">
      <alignment horizontal="center" vertical="top"/>
    </xf>
    <xf numFmtId="0" fontId="32" fillId="0" borderId="41" xfId="0" applyFont="1" applyBorder="1" applyAlignment="1">
      <alignment horizontal="left" wrapText="1"/>
    </xf>
    <xf numFmtId="0" fontId="32" fillId="0" borderId="0" xfId="0" applyFont="1" applyAlignment="1">
      <alignment horizontal="left" wrapText="1"/>
    </xf>
    <xf numFmtId="0" fontId="32" fillId="0" borderId="41" xfId="0" applyFont="1" applyBorder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32" fillId="9" borderId="0" xfId="0" applyFont="1" applyFill="1" applyAlignment="1">
      <alignment horizontal="center"/>
    </xf>
    <xf numFmtId="0" fontId="42" fillId="12" borderId="0" xfId="0" applyFont="1" applyFill="1" applyAlignment="1">
      <alignment horizontal="center" vertical="center" wrapText="1"/>
    </xf>
    <xf numFmtId="0" fontId="32" fillId="10" borderId="0" xfId="0" applyFont="1" applyFill="1" applyAlignment="1">
      <alignment horizontal="center"/>
    </xf>
    <xf numFmtId="0" fontId="32" fillId="11" borderId="0" xfId="0" applyFont="1" applyFill="1" applyAlignment="1">
      <alignment horizontal="center"/>
    </xf>
    <xf numFmtId="0" fontId="32" fillId="0" borderId="6" xfId="0" applyFont="1" applyBorder="1" applyAlignment="1">
      <alignment horizontal="left" vertical="center"/>
    </xf>
    <xf numFmtId="0" fontId="32" fillId="0" borderId="6" xfId="0" applyFont="1" applyBorder="1" applyAlignment="1">
      <alignment horizontal="left" vertical="center" wrapText="1"/>
    </xf>
    <xf numFmtId="0" fontId="33" fillId="2" borderId="0" xfId="4" applyFont="1" applyBorder="1" applyAlignment="1">
      <alignment horizontal="left" vertical="center"/>
    </xf>
    <xf numFmtId="0" fontId="33" fillId="2" borderId="0" xfId="4" applyFont="1" applyBorder="1" applyAlignment="1">
      <alignment horizontal="center" vertical="center" wrapText="1"/>
    </xf>
    <xf numFmtId="9" fontId="32" fillId="0" borderId="21" xfId="0" applyNumberFormat="1" applyFont="1" applyBorder="1" applyAlignment="1">
      <alignment horizontal="left" vertical="center" wrapText="1"/>
    </xf>
    <xf numFmtId="9" fontId="32" fillId="0" borderId="22" xfId="0" applyNumberFormat="1" applyFont="1" applyBorder="1" applyAlignment="1">
      <alignment horizontal="left" vertical="center" wrapText="1"/>
    </xf>
    <xf numFmtId="9" fontId="32" fillId="0" borderId="23" xfId="0" applyNumberFormat="1" applyFont="1" applyBorder="1" applyAlignment="1">
      <alignment horizontal="left" vertical="center" wrapText="1"/>
    </xf>
    <xf numFmtId="9" fontId="32" fillId="0" borderId="24" xfId="0" applyNumberFormat="1" applyFont="1" applyBorder="1" applyAlignment="1">
      <alignment horizontal="left" vertical="center" wrapText="1"/>
    </xf>
    <xf numFmtId="9" fontId="32" fillId="0" borderId="6" xfId="0" applyNumberFormat="1" applyFont="1" applyBorder="1" applyAlignment="1">
      <alignment horizontal="left" vertical="center" wrapText="1"/>
    </xf>
    <xf numFmtId="9" fontId="32" fillId="0" borderId="25" xfId="0" applyNumberFormat="1" applyFont="1" applyBorder="1" applyAlignment="1">
      <alignment horizontal="left" vertical="center" wrapText="1"/>
    </xf>
    <xf numFmtId="9" fontId="32" fillId="0" borderId="26" xfId="0" applyNumberFormat="1" applyFont="1" applyBorder="1" applyAlignment="1">
      <alignment horizontal="left" vertical="center" wrapText="1"/>
    </xf>
    <xf numFmtId="9" fontId="32" fillId="0" borderId="27" xfId="0" applyNumberFormat="1" applyFont="1" applyBorder="1" applyAlignment="1">
      <alignment horizontal="left" vertical="center" wrapText="1"/>
    </xf>
    <xf numFmtId="9" fontId="32" fillId="0" borderId="28" xfId="0" applyNumberFormat="1" applyFont="1" applyBorder="1" applyAlignment="1">
      <alignment horizontal="left" vertical="center" wrapText="1"/>
    </xf>
    <xf numFmtId="0" fontId="32" fillId="0" borderId="9" xfId="0" applyFont="1" applyBorder="1" applyAlignment="1">
      <alignment horizontal="left" vertical="center"/>
    </xf>
    <xf numFmtId="0" fontId="32" fillId="0" borderId="11" xfId="0" applyFont="1" applyBorder="1" applyAlignment="1">
      <alignment horizontal="left" vertical="center"/>
    </xf>
    <xf numFmtId="167" fontId="32" fillId="0" borderId="10" xfId="0" applyNumberFormat="1" applyFont="1" applyBorder="1" applyAlignment="1">
      <alignment horizontal="center" vertical="center"/>
    </xf>
    <xf numFmtId="167" fontId="32" fillId="0" borderId="12" xfId="0" applyNumberFormat="1" applyFont="1" applyBorder="1" applyAlignment="1">
      <alignment horizontal="center" vertical="center"/>
    </xf>
    <xf numFmtId="0" fontId="32" fillId="0" borderId="18" xfId="0" applyFont="1" applyBorder="1" applyAlignment="1">
      <alignment horizontal="left" vertical="center" wrapText="1"/>
    </xf>
    <xf numFmtId="0" fontId="32" fillId="0" borderId="16" xfId="0" applyFont="1" applyBorder="1" applyAlignment="1">
      <alignment horizontal="left" vertical="center" wrapText="1"/>
    </xf>
    <xf numFmtId="0" fontId="32" fillId="0" borderId="19" xfId="0" applyFont="1" applyBorder="1" applyAlignment="1">
      <alignment horizontal="left" vertical="center" wrapText="1"/>
    </xf>
    <xf numFmtId="0" fontId="32" fillId="0" borderId="7" xfId="0" applyFont="1" applyBorder="1" applyAlignment="1">
      <alignment horizontal="left" vertical="center"/>
    </xf>
    <xf numFmtId="165" fontId="32" fillId="0" borderId="15" xfId="0" applyNumberFormat="1" applyFont="1" applyBorder="1" applyAlignment="1">
      <alignment horizontal="center" vertical="center"/>
    </xf>
    <xf numFmtId="165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167" fontId="32" fillId="0" borderId="0" xfId="0" applyNumberFormat="1" applyFont="1" applyAlignment="1">
      <alignment horizontal="center" vertical="center"/>
    </xf>
    <xf numFmtId="0" fontId="32" fillId="0" borderId="9" xfId="0" applyFont="1" applyBorder="1" applyAlignment="1">
      <alignment horizontal="left" vertical="center" wrapText="1"/>
    </xf>
    <xf numFmtId="0" fontId="33" fillId="2" borderId="9" xfId="4" applyFont="1" applyBorder="1" applyAlignment="1">
      <alignment horizontal="left" vertical="center"/>
    </xf>
    <xf numFmtId="0" fontId="32" fillId="0" borderId="6" xfId="0" applyFont="1" applyBorder="1" applyAlignment="1">
      <alignment horizontal="left"/>
    </xf>
    <xf numFmtId="9" fontId="32" fillId="0" borderId="19" xfId="0" applyNumberFormat="1" applyFont="1" applyBorder="1" applyAlignment="1">
      <alignment horizontal="left" vertical="center" wrapText="1"/>
    </xf>
  </cellXfs>
  <cellStyles count="12">
    <cellStyle name="20% — akcent 1" xfId="8" builtinId="30"/>
    <cellStyle name="Dane wejściowe" xfId="5" builtinId="20"/>
    <cellStyle name="Dane wyjściowe" xfId="6" builtinId="21"/>
    <cellStyle name="Dziesiętny" xfId="10" builtinId="3"/>
    <cellStyle name="Hyperlink" xfId="9" xr:uid="{00000000-000B-0000-0000-000008000000}"/>
    <cellStyle name="Nagłówek 1" xfId="1" builtinId="16"/>
    <cellStyle name="Nagłówek 2" xfId="2" builtinId="17"/>
    <cellStyle name="Nagłówek 3" xfId="3" builtinId="18"/>
    <cellStyle name="Neutralny" xfId="4" builtinId="28"/>
    <cellStyle name="Normalny" xfId="0" builtinId="0"/>
    <cellStyle name="Procentowy" xfId="11" builtinId="5"/>
    <cellStyle name="Tekst objaśnienia" xfId="7" builtinId="53"/>
  </cellStyles>
  <dxfs count="88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numFmt numFmtId="167" formatCode="_-* #,##0\ &quot;zł&quot;_-;\-* #,##0\ &quot;zł&quot;_-;_-* &quot;-&quot;??\ &quot;zł&quot;_-;_-@_-"/>
      <fill>
        <patternFill patternType="none">
          <bgColor auto="1"/>
        </patternFill>
      </fill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numFmt numFmtId="167" formatCode="_-* #,##0\ &quot;zł&quot;_-;\-* #,##0\ &quot;zł&quot;_-;_-* &quot;-&quot;??\ &quot;zł&quot;_-;_-@_-"/>
      <fill>
        <patternFill patternType="none">
          <bgColor auto="1"/>
        </patternFill>
      </fill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numFmt numFmtId="167" formatCode="_-* #,##0\ &quot;zł&quot;_-;\-* #,##0\ &quot;zł&quot;_-;_-* &quot;-&quot;??\ &quot;zł&quot;_-;_-@_-"/>
      <fill>
        <patternFill patternType="none">
          <bgColor auto="1"/>
        </patternFill>
      </fill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numFmt numFmtId="0" formatCode="General"/>
      <fill>
        <patternFill patternType="none">
          <bgColor auto="1"/>
        </patternFill>
      </fill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numFmt numFmtId="0" formatCode="General"/>
      <fill>
        <patternFill patternType="none">
          <bgColor auto="1"/>
        </patternFill>
      </fill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numFmt numFmtId="0" formatCode="General"/>
      <fill>
        <patternFill patternType="none">
          <bgColor auto="1"/>
        </patternFill>
      </fill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numFmt numFmtId="0" formatCode="General"/>
      <fill>
        <patternFill patternType="none">
          <bgColor auto="1"/>
        </patternFill>
      </fill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numFmt numFmtId="167" formatCode="_-* #,##0\ &quot;zł&quot;_-;\-* #,##0\ &quot;zł&quot;_-;_-* &quot;-&quot;??\ &quot;zł&quot;_-;_-@_-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numFmt numFmtId="0" formatCode="General"/>
      <fill>
        <patternFill patternType="none">
          <bgColor auto="1"/>
        </patternFill>
      </fill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numFmt numFmtId="167" formatCode="_-* #,##0\ &quot;zł&quot;_-;\-* #,##0\ &quot;zł&quot;_-;_-* &quot;-&quot;??\ &quot;zł&quot;_-;_-@_-"/>
      <fill>
        <patternFill patternType="none">
          <bgColor auto="1"/>
        </patternFill>
      </fill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numFmt numFmtId="3" formatCode="#,##0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numFmt numFmtId="3" formatCode="#,##0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numFmt numFmtId="167" formatCode="_-* #,##0\ &quot;zł&quot;_-;\-* #,##0\ &quot;zł&quot;_-;_-* &quot;-&quot;??\ &quot;zł&quot;_-;_-@_-"/>
      <fill>
        <patternFill patternType="none">
          <bgColor auto="1"/>
        </patternFill>
      </fill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numFmt numFmtId="0" formatCode="General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numFmt numFmtId="3" formatCode="#,##0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3" formatCode="#,##0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numFmt numFmtId="167" formatCode="_-* #,##0\ &quot;zł&quot;_-;\-* #,##0\ &quot;zł&quot;_-;_-* &quot;-&quot;??\ &quot;zł&quot;_-;_-@_-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numFmt numFmtId="167" formatCode="_-* #,##0\ &quot;zł&quot;_-;\-* #,##0\ &quot;zł&quot;_-;_-* &quot;-&quot;??\ &quot;zł&quot;_-;_-@_-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numFmt numFmtId="167" formatCode="_-* #,##0\ &quot;zł&quot;_-;\-* #,##0\ &quot;zł&quot;_-;_-* &quot;-&quot;??\ &quot;zł&quot;_-;_-@_-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numFmt numFmtId="165" formatCode="0.0%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numFmt numFmtId="3" formatCode="#,##0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0" formatCode="General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numFmt numFmtId="3" formatCode="#,##0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numFmt numFmtId="32" formatCode="_-* #,##0\ &quot;zł&quot;_-;\-* #,##0\ &quot;zł&quot;_-;_-* &quot;-&quot;\ &quot;zł&quot;_-;_-@_-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numFmt numFmtId="165" formatCode="0.0%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numFmt numFmtId="165" formatCode="0.0%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 tint="-0.249977111117893"/>
        <name val="Arial"/>
        <family val="2"/>
        <charset val="238"/>
        <scheme val="none"/>
      </font>
      <numFmt numFmtId="0" formatCode="General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/>
        </top>
        <bottom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color theme="0" tint="-0.34998626667073579"/>
      </font>
      <fill>
        <patternFill>
          <bgColor theme="0" tint="-0.34998626667073579"/>
        </patternFill>
      </fill>
    </dxf>
    <dxf>
      <font>
        <color theme="0" tint="-0.34998626667073579"/>
      </font>
      <fill>
        <patternFill>
          <bgColor theme="0" tint="-0.34998626667073579"/>
        </patternFill>
      </fill>
    </dxf>
    <dxf>
      <font>
        <color theme="0" tint="-0.34998626667073579"/>
      </font>
      <fill>
        <patternFill>
          <bgColor theme="0" tint="-0.34998626667073579"/>
        </patternFill>
      </fill>
    </dxf>
    <dxf>
      <font>
        <color theme="0" tint="-0.34998626667073579"/>
      </font>
      <fill>
        <patternFill>
          <bgColor theme="0" tint="-0.34998626667073579"/>
        </patternFill>
      </fill>
    </dxf>
    <dxf>
      <font>
        <color theme="0" tint="-0.34998626667073579"/>
      </font>
      <fill>
        <patternFill patternType="solid">
          <bgColor theme="0" tint="-0.34998626667073579"/>
        </patternFill>
      </fill>
    </dxf>
    <dxf>
      <font>
        <color theme="1"/>
      </font>
      <fill>
        <patternFill patternType="solid">
          <bgColor theme="4" tint="0.79998168889431442"/>
        </patternFill>
      </fill>
    </dxf>
    <dxf>
      <font>
        <color theme="0" tint="-0.34998626667073579"/>
      </font>
      <fill>
        <patternFill patternType="solid">
          <bgColor theme="0" tint="-0.34998626667073579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 tint="-0.34998626667073579"/>
      </font>
      <fill>
        <patternFill patternType="solid">
          <bgColor theme="0" tint="-0.34998626667073579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 tint="-0.34998626667073579"/>
      </font>
      <fill>
        <patternFill patternType="solid">
          <bgColor theme="0" tint="-0.34998626667073579"/>
        </patternFill>
      </fill>
    </dxf>
    <dxf>
      <font>
        <color theme="0" tint="-0.34998626667073579"/>
      </font>
      <fill>
        <patternFill patternType="solid">
          <bgColor theme="0" tint="-0.34998626667073579"/>
        </patternFill>
      </fill>
    </dxf>
    <dxf>
      <font>
        <color theme="0" tint="-0.34998626667073579"/>
      </font>
      <fill>
        <patternFill patternType="solid">
          <bgColor theme="0" tint="-0.34998626667073579"/>
        </patternFill>
      </fill>
    </dxf>
    <dxf>
      <font>
        <color theme="0" tint="-0.34998626667073579"/>
      </font>
      <fill>
        <patternFill patternType="solid">
          <bgColor theme="0" tint="-0.34998626667073579"/>
        </patternFill>
      </fill>
    </dxf>
    <dxf>
      <font>
        <color theme="0" tint="-0.34998626667073579"/>
      </font>
      <fill>
        <patternFill patternType="solid">
          <bgColor theme="0" tint="-0.34998626667073579"/>
        </patternFill>
      </fill>
    </dxf>
    <dxf>
      <font>
        <color theme="0" tint="-0.34998626667073579"/>
      </font>
      <fill>
        <patternFill patternType="solid">
          <bgColor theme="0" tint="-0.34998626667073579"/>
        </patternFill>
      </fill>
    </dxf>
    <dxf>
      <font>
        <color theme="0" tint="-0.34998626667073579"/>
      </font>
      <fill>
        <patternFill patternType="solid">
          <bgColor theme="0" tint="-0.34998626667073579"/>
        </patternFill>
      </fill>
    </dxf>
    <dxf>
      <font>
        <color theme="0" tint="-0.34998626667073579"/>
      </font>
      <fill>
        <patternFill patternType="solid">
          <bgColor theme="0" tint="-0.34998626667073579"/>
        </patternFill>
      </fill>
    </dxf>
    <dxf>
      <numFmt numFmtId="0" formatCode="General"/>
      <alignment horizontal="right" vertical="bottom" textRotation="0" wrapText="0" indent="0" justifyLastLine="0" shrinkToFit="0" readingOrder="0"/>
    </dxf>
    <dxf>
      <font>
        <color theme="0" tint="-0.34998626667073579"/>
      </font>
      <fill>
        <patternFill>
          <bgColor theme="0" tint="-0.34998626667073579"/>
        </patternFill>
      </fill>
    </dxf>
    <dxf>
      <font>
        <color theme="0" tint="-0.34998626667073579"/>
      </font>
      <fill>
        <patternFill>
          <bgColor theme="0" tint="-0.34998626667073579"/>
        </patternFill>
      </fill>
    </dxf>
    <dxf>
      <font>
        <color theme="0" tint="-0.34998626667073579"/>
      </font>
      <fill>
        <patternFill patternType="solid">
          <bgColor theme="0" tint="-0.34998626667073579"/>
        </patternFill>
      </fill>
    </dxf>
    <dxf>
      <font>
        <color theme="0" tint="-0.34998626667073579"/>
      </font>
      <fill>
        <patternFill>
          <bgColor theme="0" tint="-0.34998626667073579"/>
        </patternFill>
      </fill>
    </dxf>
    <dxf>
      <font>
        <color theme="0" tint="-0.34998626667073579"/>
      </font>
      <fill>
        <patternFill>
          <bgColor theme="0" tint="-0.34998626667073579"/>
        </patternFill>
      </fill>
    </dxf>
    <dxf>
      <font>
        <color theme="0" tint="-0.34998626667073579"/>
      </font>
      <fill>
        <patternFill patternType="solid">
          <bgColor theme="0" tint="-0.34998626667073579"/>
        </patternFill>
      </fill>
    </dxf>
    <dxf>
      <font>
        <color theme="1"/>
      </font>
      <fill>
        <patternFill patternType="solid">
          <bgColor theme="4" tint="0.79998168889431442"/>
        </patternFill>
      </fill>
    </dxf>
    <dxf>
      <font>
        <color theme="0" tint="-0.34998626667073579"/>
      </font>
      <fill>
        <patternFill patternType="solid">
          <bgColor theme="0" tint="-0.34998626667073579"/>
        </patternFill>
      </fill>
    </dxf>
    <dxf>
      <font>
        <color theme="1"/>
      </font>
      <fill>
        <patternFill patternType="solid">
          <bgColor theme="4" tint="0.79998168889431442"/>
        </patternFill>
      </fill>
    </dxf>
    <dxf>
      <font>
        <color theme="0" tint="-0.34998626667073579"/>
      </font>
      <fill>
        <patternFill patternType="solid">
          <bgColor theme="0" tint="-0.34998626667073579"/>
        </patternFill>
      </fill>
    </dxf>
    <dxf>
      <font>
        <color theme="1"/>
      </font>
      <fill>
        <patternFill patternType="solid">
          <bgColor theme="4" tint="0.79998168889431442"/>
        </patternFill>
      </fill>
    </dxf>
    <dxf>
      <font>
        <color theme="0" tint="-0.34998626667073579"/>
      </font>
      <fill>
        <patternFill patternType="solid">
          <bgColor theme="0" tint="-0.34998626667073579"/>
        </patternFill>
      </fill>
    </dxf>
    <dxf>
      <font>
        <color theme="0" tint="-0.34998626667073579"/>
      </font>
      <fill>
        <patternFill patternType="solid">
          <bgColor theme="0" tint="-0.34998626667073579"/>
        </patternFill>
      </fill>
    </dxf>
    <dxf>
      <font>
        <color theme="0" tint="-0.34998626667073579"/>
      </font>
      <fill>
        <patternFill patternType="solid">
          <bgColor theme="0" tint="-0.34998626667073579"/>
        </patternFill>
      </fill>
    </dxf>
    <dxf>
      <font>
        <color theme="0" tint="-0.34998626667073579"/>
      </font>
      <fill>
        <patternFill patternType="solid">
          <bgColor theme="0" tint="-0.34998626667073579"/>
        </patternFill>
      </fill>
    </dxf>
    <dxf>
      <font>
        <color theme="0" tint="-0.34998626667073579"/>
      </font>
      <fill>
        <patternFill patternType="solid">
          <bgColor theme="0" tint="-0.34998626667073579"/>
        </patternFill>
      </fill>
    </dxf>
    <dxf>
      <font>
        <color theme="0" tint="-0.34998626667073579"/>
      </font>
      <fill>
        <patternFill patternType="solid">
          <bgColor theme="0" tint="-0.34998626667073579"/>
        </patternFill>
      </fill>
    </dxf>
    <dxf>
      <font>
        <color theme="0" tint="-0.34998626667073579"/>
      </font>
      <fill>
        <patternFill patternType="solid">
          <bgColor theme="0" tint="-0.34998626667073579"/>
        </patternFill>
      </fill>
    </dxf>
    <dxf>
      <font>
        <color theme="0" tint="-0.34998626667073579"/>
      </font>
      <fill>
        <patternFill patternType="solid">
          <bgColor theme="0" tint="-0.34998626667073579"/>
        </patternFill>
      </fill>
    </dxf>
    <dxf>
      <numFmt numFmtId="4" formatCode="#,##0.00"/>
    </dxf>
    <dxf>
      <numFmt numFmtId="164" formatCode="#,##0.00\ &quot;zł&quot;"/>
      <alignment horizontal="general" vertical="center" textRotation="0" wrapText="1" indent="0" justifyLastLine="0" shrinkToFit="0" readingOrder="0"/>
    </dxf>
    <dxf>
      <numFmt numFmtId="164" formatCode="#,##0.00\ &quot;zł&quot;"/>
    </dxf>
    <dxf>
      <numFmt numFmtId="2" formatCode="0.00"/>
      <alignment horizontal="general" vertical="bottom" textRotation="0" wrapText="1" indent="0" justifyLastLine="0" shrinkToFit="0" readingOrder="0"/>
    </dxf>
    <dxf>
      <numFmt numFmtId="164" formatCode="#,##0.00\ &quot;zł&quot;"/>
    </dxf>
    <dxf>
      <numFmt numFmtId="14" formatCode="0.00%"/>
    </dxf>
    <dxf>
      <numFmt numFmtId="14" formatCode="0.00%"/>
    </dxf>
    <dxf>
      <numFmt numFmtId="19" formatCode="dd/mm/yyyy"/>
    </dxf>
    <dxf>
      <numFmt numFmtId="167" formatCode="_-* #,##0\ &quot;zł&quot;_-;\-* #,##0\ &quot;zł&quot;_-;_-* &quot;-&quot;??\ &quot;zł&quot;_-;_-@_-"/>
    </dxf>
    <dxf>
      <alignment wrapText="1"/>
    </dxf>
    <dxf>
      <numFmt numFmtId="35" formatCode="_-* #,##0.00_-;\-* #,##0.00_-;_-* &quot;-&quot;??_-;_-@_-"/>
    </dxf>
    <dxf>
      <numFmt numFmtId="35" formatCode="_-* #,##0.00_-;\-* #,##0.00_-;_-* &quot;-&quot;??_-;_-@_-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[V2_Kalkulator opłacalności inwestycji zakup mieszkania na wynajem.xlsx]Koszty!Tabela przestawna3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Koszty!$B$1</c:f>
              <c:strCache>
                <c:ptCount val="1"/>
                <c:pt idx="0">
                  <c:v>Suma z Wszystkie Koszty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Koszty!$A$2:$A$52</c:f>
              <c:strCache>
                <c:ptCount val="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</c:strCache>
            </c:strRef>
          </c:cat>
          <c:val>
            <c:numRef>
              <c:f>Koszty!$B$2:$B$52</c:f>
              <c:numCache>
                <c:formatCode>_(* #,##0.00_);_(* \(#,##0.00\);_(* "-"??_);_(@_)</c:formatCode>
                <c:ptCount val="50"/>
                <c:pt idx="0">
                  <c:v>19420.267945513617</c:v>
                </c:pt>
                <c:pt idx="1">
                  <c:v>19510.474871820759</c:v>
                </c:pt>
                <c:pt idx="2">
                  <c:v>19603.233294682868</c:v>
                </c:pt>
                <c:pt idx="3">
                  <c:v>19698.6134558222</c:v>
                </c:pt>
                <c:pt idx="4">
                  <c:v>19796.687447411634</c:v>
                </c:pt>
                <c:pt idx="5">
                  <c:v>19897.529257125709</c:v>
                </c:pt>
                <c:pt idx="6">
                  <c:v>20001.21481411696</c:v>
                </c:pt>
                <c:pt idx="7">
                  <c:v>20107.822035927878</c:v>
                </c:pt>
                <c:pt idx="8">
                  <c:v>20217.430876348604</c:v>
                </c:pt>
                <c:pt idx="9">
                  <c:v>27416.346535606386</c:v>
                </c:pt>
                <c:pt idx="10">
                  <c:v>20445.983703259641</c:v>
                </c:pt>
                <c:pt idx="11">
                  <c:v>20565.098222714238</c:v>
                </c:pt>
                <c:pt idx="12">
                  <c:v>20687.555529188117</c:v>
                </c:pt>
                <c:pt idx="13">
                  <c:v>20813.446509313482</c:v>
                </c:pt>
                <c:pt idx="14">
                  <c:v>20942.864393474079</c:v>
                </c:pt>
                <c:pt idx="15">
                  <c:v>21075.904810520002</c:v>
                </c:pt>
                <c:pt idx="16" formatCode="General">
                  <c:v>21212.665843488365</c:v>
                </c:pt>
                <c:pt idx="17" formatCode="General">
                  <c:v>21353.248086334304</c:v>
                </c:pt>
                <c:pt idx="18" formatCode="General">
                  <c:v>21497.754701675545</c:v>
                </c:pt>
                <c:pt idx="19" formatCode="General">
                  <c:v>49230.695200508875</c:v>
                </c:pt>
                <c:pt idx="20" formatCode="General">
                  <c:v>21798.966897208506</c:v>
                </c:pt>
                <c:pt idx="21" formatCode="General">
                  <c:v>21955.892179880269</c:v>
                </c:pt>
                <c:pt idx="22" formatCode="General">
                  <c:v>22117.181362614294</c:v>
                </c:pt>
                <c:pt idx="23" formatCode="General">
                  <c:v>22282.951353089964</c:v>
                </c:pt>
                <c:pt idx="24" formatCode="General">
                  <c:v>22453.321995455604</c:v>
                </c:pt>
                <c:pt idx="25" formatCode="General">
                  <c:v>22628.416135168907</c:v>
                </c:pt>
                <c:pt idx="26" formatCode="General">
                  <c:v>22808.359684835079</c:v>
                </c:pt>
                <c:pt idx="27" formatCode="General">
                  <c:v>22993.281691034193</c:v>
                </c:pt>
                <c:pt idx="28" formatCode="General">
                  <c:v>23183.31440212718</c:v>
                </c:pt>
                <c:pt idx="29" formatCode="General">
                  <c:v>36195.673485234693</c:v>
                </c:pt>
                <c:pt idx="30" formatCode="General">
                  <c:v>9693.8294289252717</c:v>
                </c:pt>
                <c:pt idx="31" formatCode="General">
                  <c:v>8717.7801641495043</c:v>
                </c:pt>
                <c:pt idx="32" formatCode="General">
                  <c:v>8979.3135690739891</c:v>
                </c:pt>
                <c:pt idx="33" formatCode="General">
                  <c:v>9248.6929761462088</c:v>
                </c:pt>
                <c:pt idx="34" formatCode="General">
                  <c:v>9526.1537654305957</c:v>
                </c:pt>
                <c:pt idx="35" formatCode="General">
                  <c:v>9811.9383783935136</c:v>
                </c:pt>
                <c:pt idx="36" formatCode="General">
                  <c:v>10106.296529745319</c:v>
                </c:pt>
                <c:pt idx="37" formatCode="General">
                  <c:v>10409.48542563768</c:v>
                </c:pt>
                <c:pt idx="38" formatCode="General">
                  <c:v>10721.76998840681</c:v>
                </c:pt>
                <c:pt idx="39" formatCode="General">
                  <c:v>60863.924550134252</c:v>
                </c:pt>
                <c:pt idx="40" formatCode="General">
                  <c:v>11576.230456795598</c:v>
                </c:pt>
                <c:pt idx="41" formatCode="General">
                  <c:v>12043.517370499463</c:v>
                </c:pt>
                <c:pt idx="42" formatCode="General">
                  <c:v>12524.822891614447</c:v>
                </c:pt>
                <c:pt idx="43" formatCode="General">
                  <c:v>13020.567578362883</c:v>
                </c:pt>
                <c:pt idx="44" formatCode="General">
                  <c:v>13531.184605713772</c:v>
                </c:pt>
                <c:pt idx="45" formatCode="General">
                  <c:v>14057.120143885188</c:v>
                </c:pt>
                <c:pt idx="46" formatCode="General">
                  <c:v>14598.833748201741</c:v>
                </c:pt>
                <c:pt idx="47" formatCode="General">
                  <c:v>15156.798760647795</c:v>
                </c:pt>
                <c:pt idx="48" formatCode="General">
                  <c:v>15731.502723467231</c:v>
                </c:pt>
                <c:pt idx="49" formatCode="General">
                  <c:v>39200.627271725265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0C-43AC-BDDD-A9CAF8029F1E}"/>
            </c:ext>
          </c:extLst>
        </c:ser>
        <c:ser>
          <c:idx val="1"/>
          <c:order val="1"/>
          <c:tx>
            <c:strRef>
              <c:f>Koszty!$C$1</c:f>
              <c:strCache>
                <c:ptCount val="1"/>
                <c:pt idx="0">
                  <c:v>Suma z Rata kredytu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Koszty!$A$2:$A$52</c:f>
              <c:strCache>
                <c:ptCount val="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</c:strCache>
            </c:strRef>
          </c:cat>
          <c:val>
            <c:numRef>
              <c:f>Koszty!$C$2:$C$52</c:f>
              <c:numCache>
                <c:formatCode>_(* #,##0.00_);_(* \(#,##0.00\);_(* "-"??_);_(@_)</c:formatCode>
                <c:ptCount val="50"/>
                <c:pt idx="0">
                  <c:v>14759.58230264303</c:v>
                </c:pt>
                <c:pt idx="1">
                  <c:v>14759.58230264303</c:v>
                </c:pt>
                <c:pt idx="2">
                  <c:v>14759.58230264303</c:v>
                </c:pt>
                <c:pt idx="3">
                  <c:v>14759.582302643033</c:v>
                </c:pt>
                <c:pt idx="4">
                  <c:v>14759.58230264303</c:v>
                </c:pt>
                <c:pt idx="5">
                  <c:v>14759.58230264303</c:v>
                </c:pt>
                <c:pt idx="6">
                  <c:v>14759.58230264303</c:v>
                </c:pt>
                <c:pt idx="7">
                  <c:v>14759.582302643032</c:v>
                </c:pt>
                <c:pt idx="8">
                  <c:v>14759.582302643032</c:v>
                </c:pt>
                <c:pt idx="9">
                  <c:v>14759.582302643033</c:v>
                </c:pt>
                <c:pt idx="10">
                  <c:v>14759.58230264303</c:v>
                </c:pt>
                <c:pt idx="11">
                  <c:v>14759.58230264303</c:v>
                </c:pt>
                <c:pt idx="12">
                  <c:v>14759.582302643032</c:v>
                </c:pt>
                <c:pt idx="13">
                  <c:v>14759.582302643033</c:v>
                </c:pt>
                <c:pt idx="14">
                  <c:v>14759.58230264303</c:v>
                </c:pt>
                <c:pt idx="15">
                  <c:v>14759.582302643033</c:v>
                </c:pt>
                <c:pt idx="16" formatCode="General">
                  <c:v>14759.58230264303</c:v>
                </c:pt>
                <c:pt idx="17" formatCode="General">
                  <c:v>14759.58230264303</c:v>
                </c:pt>
                <c:pt idx="18" formatCode="General">
                  <c:v>14759.58230264303</c:v>
                </c:pt>
                <c:pt idx="19" formatCode="General">
                  <c:v>14759.58230264303</c:v>
                </c:pt>
                <c:pt idx="20" formatCode="General">
                  <c:v>14759.582302643032</c:v>
                </c:pt>
                <c:pt idx="21" formatCode="General">
                  <c:v>14759.58230264303</c:v>
                </c:pt>
                <c:pt idx="22" formatCode="General">
                  <c:v>14759.58230264303</c:v>
                </c:pt>
                <c:pt idx="23" formatCode="General">
                  <c:v>14759.582302643032</c:v>
                </c:pt>
                <c:pt idx="24" formatCode="General">
                  <c:v>14759.58230264303</c:v>
                </c:pt>
                <c:pt idx="25" formatCode="General">
                  <c:v>14759.58230264303</c:v>
                </c:pt>
                <c:pt idx="26" formatCode="General">
                  <c:v>14759.58230264303</c:v>
                </c:pt>
                <c:pt idx="27" formatCode="General">
                  <c:v>14759.58230264303</c:v>
                </c:pt>
                <c:pt idx="28" formatCode="General">
                  <c:v>14759.582302643032</c:v>
                </c:pt>
                <c:pt idx="29" formatCode="General">
                  <c:v>14759.582302643032</c:v>
                </c:pt>
                <c:pt idx="30" formatCode="General">
                  <c:v>1229.9651918869192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  <c:pt idx="48" formatCode="General">
                  <c:v>0</c:v>
                </c:pt>
                <c:pt idx="49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A0C-43AC-BDDD-A9CAF8029F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8588719"/>
        <c:axId val="98589199"/>
      </c:barChart>
      <c:catAx>
        <c:axId val="985887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98589199"/>
        <c:crosses val="autoZero"/>
        <c:auto val="1"/>
        <c:lblAlgn val="ctr"/>
        <c:lblOffset val="100"/>
        <c:noMultiLvlLbl val="0"/>
      </c:catAx>
      <c:valAx>
        <c:axId val="985891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985887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[V2_Kalkulator opłacalności inwestycji zakup mieszkania na wynajem.xlsx]Zyski!Tabela przestawna1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Zyski!$B$1</c:f>
              <c:strCache>
                <c:ptCount val="1"/>
                <c:pt idx="0">
                  <c:v>Suma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Zyski!$A$2:$A$52</c:f>
              <c:strCache>
                <c:ptCount val="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</c:strCache>
            </c:strRef>
          </c:cat>
          <c:val>
            <c:numRef>
              <c:f>Zyski!$B$2:$B$52</c:f>
              <c:numCache>
                <c:formatCode>_(* #,##0.00_);_(* \(#,##0.00\);_(* "-"??_);_(@_)</c:formatCode>
                <c:ptCount val="50"/>
                <c:pt idx="0">
                  <c:v>12779.732054486383</c:v>
                </c:pt>
                <c:pt idx="1">
                  <c:v>13655.525128179241</c:v>
                </c:pt>
                <c:pt idx="2">
                  <c:v>14557.746705317135</c:v>
                </c:pt>
                <c:pt idx="3">
                  <c:v>15487.195944177798</c:v>
                </c:pt>
                <c:pt idx="4">
                  <c:v>16444.696234588366</c:v>
                </c:pt>
                <c:pt idx="5">
                  <c:v>17431.095935334291</c:v>
                </c:pt>
                <c:pt idx="6">
                  <c:v>18447.269134116839</c:v>
                </c:pt>
                <c:pt idx="7">
                  <c:v>19494.11643075294</c:v>
                </c:pt>
                <c:pt idx="8">
                  <c:v>20572.565744332634</c:v>
                </c:pt>
                <c:pt idx="9">
                  <c:v>12770.667526334346</c:v>
                </c:pt>
                <c:pt idx="10">
                  <c:v>22828.123711621083</c:v>
                </c:pt>
                <c:pt idx="11">
                  <c:v>24007.23241461291</c:v>
                </c:pt>
                <c:pt idx="12">
                  <c:v>25221.945027258844</c:v>
                </c:pt>
                <c:pt idx="13">
                  <c:v>26473.339063826894</c:v>
                </c:pt>
                <c:pt idx="14">
                  <c:v>27762.524746860505</c:v>
                </c:pt>
                <c:pt idx="15">
                  <c:v>29090.646004024627</c:v>
                </c:pt>
                <c:pt idx="16">
                  <c:v>30458.881495492602</c:v>
                </c:pt>
                <c:pt idx="17">
                  <c:v>31868.445672816095</c:v>
                </c:pt>
                <c:pt idx="18">
                  <c:v>33320.589870249372</c:v>
                </c:pt>
                <c:pt idx="19">
                  <c:v>4777.2912342658465</c:v>
                </c:pt>
                <c:pt idx="20">
                  <c:v>36357.814859146638</c:v>
                </c:pt>
                <c:pt idx="21">
                  <c:v>37945.593029165531</c:v>
                </c:pt>
                <c:pt idx="22">
                  <c:v>39581.348402702875</c:v>
                </c:pt>
                <c:pt idx="23">
                  <c:v>41266.534305186731</c:v>
                </c:pt>
                <c:pt idx="24">
                  <c:v>43002.648232569394</c:v>
                </c:pt>
                <c:pt idx="25">
                  <c:v>44791.233199696842</c:v>
                </c:pt>
                <c:pt idx="26">
                  <c:v>46633.879130076639</c:v>
                </c:pt>
                <c:pt idx="27">
                  <c:v>48532.224288324891</c:v>
                </c:pt>
                <c:pt idx="28">
                  <c:v>50487.956756612672</c:v>
                </c:pt>
                <c:pt idx="29">
                  <c:v>36386.544099854225</c:v>
                </c:pt>
                <c:pt idx="30">
                  <c:v>68464.022143381837</c:v>
                </c:pt>
                <c:pt idx="31">
                  <c:v>71784.806955326843</c:v>
                </c:pt>
                <c:pt idx="32">
                  <c:v>73938.351163986648</c:v>
                </c:pt>
                <c:pt idx="33">
                  <c:v>76156.501698906242</c:v>
                </c:pt>
                <c:pt idx="34">
                  <c:v>78441.196749873445</c:v>
                </c:pt>
                <c:pt idx="35">
                  <c:v>80794.432652369636</c:v>
                </c:pt>
                <c:pt idx="36">
                  <c:v>83218.26563194074</c:v>
                </c:pt>
                <c:pt idx="37">
                  <c:v>85714.813600898968</c:v>
                </c:pt>
                <c:pt idx="38">
                  <c:v>88286.258008925928</c:v>
                </c:pt>
                <c:pt idx="39">
                  <c:v>36680.506511585758</c:v>
                </c:pt>
                <c:pt idx="40">
                  <c:v>93461.38644557471</c:v>
                </c:pt>
                <c:pt idx="41">
                  <c:v>96145.228038941947</c:v>
                </c:pt>
                <c:pt idx="42">
                  <c:v>98909.584880110211</c:v>
                </c:pt>
                <c:pt idx="43">
                  <c:v>101756.87242651352</c:v>
                </c:pt>
                <c:pt idx="44">
                  <c:v>104689.57859930895</c:v>
                </c:pt>
                <c:pt idx="45">
                  <c:v>107710.26595728821</c:v>
                </c:pt>
                <c:pt idx="46">
                  <c:v>110821.57393600687</c:v>
                </c:pt>
                <c:pt idx="47">
                  <c:v>114026.22115408708</c:v>
                </c:pt>
                <c:pt idx="48">
                  <c:v>117327.0077887097</c:v>
                </c:pt>
                <c:pt idx="49">
                  <c:v>91890.931345923804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DA-4586-9090-8E6A2168C0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28126751"/>
        <c:axId val="1328127231"/>
      </c:barChart>
      <c:catAx>
        <c:axId val="13281267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328127231"/>
        <c:crosses val="autoZero"/>
        <c:auto val="1"/>
        <c:lblAlgn val="ctr"/>
        <c:lblOffset val="100"/>
        <c:noMultiLvlLbl val="0"/>
      </c:catAx>
      <c:valAx>
        <c:axId val="1328127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3281267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[V2_Kalkulator opłacalności inwestycji zakup mieszkania na wynajem.xlsx]Przychody vs Koszty!Tabela przestawna4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'Przychody vs Koszty'!$B$1</c:f>
              <c:strCache>
                <c:ptCount val="1"/>
                <c:pt idx="0">
                  <c:v>Suma z Przychody z wynajmu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'Przychody vs Koszty'!$A$2:$A$52</c:f>
              <c:strCache>
                <c:ptCount val="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</c:strCache>
            </c:strRef>
          </c:cat>
          <c:val>
            <c:numRef>
              <c:f>'Przychody vs Koszty'!$B$2:$B$52</c:f>
              <c:numCache>
                <c:formatCode>_-* #,##0\ "zł"_-;\-* #,##0\ "zł"_-;_-* "-"??\ "zł"_-;_-@_-</c:formatCode>
                <c:ptCount val="50"/>
                <c:pt idx="0">
                  <c:v>32200</c:v>
                </c:pt>
                <c:pt idx="1">
                  <c:v>33166</c:v>
                </c:pt>
                <c:pt idx="2">
                  <c:v>34160.980000000003</c:v>
                </c:pt>
                <c:pt idx="3">
                  <c:v>35185.809399999998</c:v>
                </c:pt>
                <c:pt idx="4">
                  <c:v>36241.383682</c:v>
                </c:pt>
                <c:pt idx="5">
                  <c:v>37328.62519246</c:v>
                </c:pt>
                <c:pt idx="6">
                  <c:v>38448.483948233799</c:v>
                </c:pt>
                <c:pt idx="7">
                  <c:v>39601.938466680818</c:v>
                </c:pt>
                <c:pt idx="8">
                  <c:v>40789.996620681239</c:v>
                </c:pt>
                <c:pt idx="9">
                  <c:v>40187.014061940732</c:v>
                </c:pt>
                <c:pt idx="10">
                  <c:v>43274.107414880724</c:v>
                </c:pt>
                <c:pt idx="11">
                  <c:v>44572.330637327148</c:v>
                </c:pt>
                <c:pt idx="12">
                  <c:v>45909.500556446961</c:v>
                </c:pt>
                <c:pt idx="13">
                  <c:v>47286.785573140376</c:v>
                </c:pt>
                <c:pt idx="14">
                  <c:v>48705.389140334584</c:v>
                </c:pt>
                <c:pt idx="15">
                  <c:v>50166.550814544629</c:v>
                </c:pt>
                <c:pt idx="16">
                  <c:v>51671.54733898097</c:v>
                </c:pt>
                <c:pt idx="17">
                  <c:v>53221.693759150403</c:v>
                </c:pt>
                <c:pt idx="18">
                  <c:v>54818.344571924914</c:v>
                </c:pt>
                <c:pt idx="19">
                  <c:v>54007.986434774721</c:v>
                </c:pt>
                <c:pt idx="20" formatCode="General">
                  <c:v>58156.781756355143</c:v>
                </c:pt>
                <c:pt idx="21" formatCode="General">
                  <c:v>59901.485209045801</c:v>
                </c:pt>
                <c:pt idx="22" formatCode="General">
                  <c:v>61698.529765317173</c:v>
                </c:pt>
                <c:pt idx="23" formatCode="General">
                  <c:v>63549.485658276695</c:v>
                </c:pt>
                <c:pt idx="24" formatCode="General">
                  <c:v>65455.970228024999</c:v>
                </c:pt>
                <c:pt idx="25" formatCode="General">
                  <c:v>67419.649334865753</c:v>
                </c:pt>
                <c:pt idx="26" formatCode="General">
                  <c:v>69442.238814911718</c:v>
                </c:pt>
                <c:pt idx="27" formatCode="General">
                  <c:v>71525.505979359077</c:v>
                </c:pt>
                <c:pt idx="28" formatCode="General">
                  <c:v>73671.271158739852</c:v>
                </c:pt>
                <c:pt idx="29" formatCode="General">
                  <c:v>72582.217585088918</c:v>
                </c:pt>
                <c:pt idx="30" formatCode="General">
                  <c:v>78157.851572307118</c:v>
                </c:pt>
                <c:pt idx="31" formatCode="General">
                  <c:v>80502.587119476346</c:v>
                </c:pt>
                <c:pt idx="32" formatCode="General">
                  <c:v>82917.664733060636</c:v>
                </c:pt>
                <c:pt idx="33" formatCode="General">
                  <c:v>85405.194675052451</c:v>
                </c:pt>
                <c:pt idx="34" formatCode="General">
                  <c:v>87967.350515304031</c:v>
                </c:pt>
                <c:pt idx="35" formatCode="General">
                  <c:v>90606.371030763155</c:v>
                </c:pt>
                <c:pt idx="36" formatCode="General">
                  <c:v>93324.562161686044</c:v>
                </c:pt>
                <c:pt idx="37" formatCode="General">
                  <c:v>96124.299026536639</c:v>
                </c:pt>
                <c:pt idx="38" formatCode="General">
                  <c:v>99008.027997332742</c:v>
                </c:pt>
                <c:pt idx="39" formatCode="General">
                  <c:v>97544.43106172001</c:v>
                </c:pt>
                <c:pt idx="40" formatCode="General">
                  <c:v>105037.61690237031</c:v>
                </c:pt>
                <c:pt idx="41" formatCode="General">
                  <c:v>108188.74540944141</c:v>
                </c:pt>
                <c:pt idx="42" formatCode="General">
                  <c:v>111434.40777172465</c:v>
                </c:pt>
                <c:pt idx="43" formatCode="General">
                  <c:v>114777.44000487641</c:v>
                </c:pt>
                <c:pt idx="44" formatCode="General">
                  <c:v>118220.76320502271</c:v>
                </c:pt>
                <c:pt idx="45" formatCode="General">
                  <c:v>121767.38610117341</c:v>
                </c:pt>
                <c:pt idx="46" formatCode="General">
                  <c:v>125420.40768420861</c:v>
                </c:pt>
                <c:pt idx="47" formatCode="General">
                  <c:v>129183.01991473488</c:v>
                </c:pt>
                <c:pt idx="48" formatCode="General">
                  <c:v>133058.51051217693</c:v>
                </c:pt>
                <c:pt idx="49" formatCode="General">
                  <c:v>131091.55861764908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91-40E7-B08F-FB0703DE509E}"/>
            </c:ext>
          </c:extLst>
        </c:ser>
        <c:ser>
          <c:idx val="1"/>
          <c:order val="1"/>
          <c:tx>
            <c:strRef>
              <c:f>'Przychody vs Koszty'!$C$1</c:f>
              <c:strCache>
                <c:ptCount val="1"/>
                <c:pt idx="0">
                  <c:v>Suma z Wszystkie Koszty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'Przychody vs Koszty'!$A$2:$A$52</c:f>
              <c:strCache>
                <c:ptCount val="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</c:strCache>
            </c:strRef>
          </c:cat>
          <c:val>
            <c:numRef>
              <c:f>'Przychody vs Koszty'!$C$2:$C$52</c:f>
              <c:numCache>
                <c:formatCode>_-* #,##0\ "zł"_-;\-* #,##0\ "zł"_-;_-* "-"??\ "zł"_-;_-@_-</c:formatCode>
                <c:ptCount val="50"/>
                <c:pt idx="0">
                  <c:v>19420.267945513617</c:v>
                </c:pt>
                <c:pt idx="1">
                  <c:v>19510.474871820759</c:v>
                </c:pt>
                <c:pt idx="2">
                  <c:v>19603.233294682868</c:v>
                </c:pt>
                <c:pt idx="3">
                  <c:v>19698.6134558222</c:v>
                </c:pt>
                <c:pt idx="4">
                  <c:v>19796.687447411634</c:v>
                </c:pt>
                <c:pt idx="5">
                  <c:v>19897.529257125709</c:v>
                </c:pt>
                <c:pt idx="6">
                  <c:v>20001.21481411696</c:v>
                </c:pt>
                <c:pt idx="7">
                  <c:v>20107.822035927878</c:v>
                </c:pt>
                <c:pt idx="8">
                  <c:v>20217.430876348604</c:v>
                </c:pt>
                <c:pt idx="9">
                  <c:v>27416.346535606386</c:v>
                </c:pt>
                <c:pt idx="10">
                  <c:v>20445.983703259641</c:v>
                </c:pt>
                <c:pt idx="11">
                  <c:v>20565.098222714238</c:v>
                </c:pt>
                <c:pt idx="12">
                  <c:v>20687.555529188117</c:v>
                </c:pt>
                <c:pt idx="13">
                  <c:v>20813.446509313482</c:v>
                </c:pt>
                <c:pt idx="14">
                  <c:v>20942.864393474079</c:v>
                </c:pt>
                <c:pt idx="15">
                  <c:v>21075.904810520002</c:v>
                </c:pt>
                <c:pt idx="16">
                  <c:v>21212.665843488365</c:v>
                </c:pt>
                <c:pt idx="17">
                  <c:v>21353.248086334304</c:v>
                </c:pt>
                <c:pt idx="18">
                  <c:v>21497.754701675545</c:v>
                </c:pt>
                <c:pt idx="19">
                  <c:v>49230.695200508875</c:v>
                </c:pt>
                <c:pt idx="20" formatCode="General">
                  <c:v>21798.966897208506</c:v>
                </c:pt>
                <c:pt idx="21" formatCode="General">
                  <c:v>21955.892179880269</c:v>
                </c:pt>
                <c:pt idx="22" formatCode="General">
                  <c:v>22117.181362614294</c:v>
                </c:pt>
                <c:pt idx="23" formatCode="General">
                  <c:v>22282.951353089964</c:v>
                </c:pt>
                <c:pt idx="24" formatCode="General">
                  <c:v>22453.321995455604</c:v>
                </c:pt>
                <c:pt idx="25" formatCode="General">
                  <c:v>22628.416135168907</c:v>
                </c:pt>
                <c:pt idx="26" formatCode="General">
                  <c:v>22808.359684835079</c:v>
                </c:pt>
                <c:pt idx="27" formatCode="General">
                  <c:v>22993.281691034193</c:v>
                </c:pt>
                <c:pt idx="28" formatCode="General">
                  <c:v>23183.31440212718</c:v>
                </c:pt>
                <c:pt idx="29" formatCode="General">
                  <c:v>36195.673485234693</c:v>
                </c:pt>
                <c:pt idx="30" formatCode="General">
                  <c:v>9693.8294289252717</c:v>
                </c:pt>
                <c:pt idx="31" formatCode="General">
                  <c:v>8717.7801641495043</c:v>
                </c:pt>
                <c:pt idx="32" formatCode="General">
                  <c:v>8979.3135690739891</c:v>
                </c:pt>
                <c:pt idx="33" formatCode="General">
                  <c:v>9248.6929761462088</c:v>
                </c:pt>
                <c:pt idx="34" formatCode="General">
                  <c:v>9526.1537654305957</c:v>
                </c:pt>
                <c:pt idx="35" formatCode="General">
                  <c:v>9811.9383783935136</c:v>
                </c:pt>
                <c:pt idx="36" formatCode="General">
                  <c:v>10106.296529745319</c:v>
                </c:pt>
                <c:pt idx="37" formatCode="General">
                  <c:v>10409.48542563768</c:v>
                </c:pt>
                <c:pt idx="38" formatCode="General">
                  <c:v>10721.76998840681</c:v>
                </c:pt>
                <c:pt idx="39" formatCode="General">
                  <c:v>60863.924550134252</c:v>
                </c:pt>
                <c:pt idx="40" formatCode="General">
                  <c:v>11576.230456795598</c:v>
                </c:pt>
                <c:pt idx="41" formatCode="General">
                  <c:v>12043.517370499463</c:v>
                </c:pt>
                <c:pt idx="42" formatCode="General">
                  <c:v>12524.822891614447</c:v>
                </c:pt>
                <c:pt idx="43" formatCode="General">
                  <c:v>13020.567578362883</c:v>
                </c:pt>
                <c:pt idx="44" formatCode="General">
                  <c:v>13531.184605713772</c:v>
                </c:pt>
                <c:pt idx="45" formatCode="General">
                  <c:v>14057.120143885188</c:v>
                </c:pt>
                <c:pt idx="46" formatCode="General">
                  <c:v>14598.833748201741</c:v>
                </c:pt>
                <c:pt idx="47" formatCode="General">
                  <c:v>15156.798760647795</c:v>
                </c:pt>
                <c:pt idx="48" formatCode="General">
                  <c:v>15731.502723467231</c:v>
                </c:pt>
                <c:pt idx="49" formatCode="General">
                  <c:v>39200.627271725265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91-40E7-B08F-FB0703DE50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8674159"/>
        <c:axId val="98558479"/>
      </c:barChart>
      <c:catAx>
        <c:axId val="986741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98558479"/>
        <c:crosses val="autoZero"/>
        <c:auto val="1"/>
        <c:lblAlgn val="ctr"/>
        <c:lblOffset val="100"/>
        <c:noMultiLvlLbl val="0"/>
      </c:catAx>
      <c:valAx>
        <c:axId val="985584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&quot;zł&quot;_-;\-* #,##0\ &quot;zł&quot;_-;_-* &quot;-&quot;??\ &quot;zł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986741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495300</xdr:colOff>
      <xdr:row>0</xdr:row>
      <xdr:rowOff>169543</xdr:rowOff>
    </xdr:from>
    <xdr:to>
      <xdr:col>20</xdr:col>
      <xdr:colOff>361950</xdr:colOff>
      <xdr:row>33</xdr:row>
      <xdr:rowOff>171449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C8E0A432-326F-00CB-70A2-3D486B0C1D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207645</xdr:colOff>
      <xdr:row>0</xdr:row>
      <xdr:rowOff>95249</xdr:rowOff>
    </xdr:from>
    <xdr:to>
      <xdr:col>41</xdr:col>
      <xdr:colOff>0</xdr:colOff>
      <xdr:row>29</xdr:row>
      <xdr:rowOff>142875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EE6E65AD-8413-72A9-A2C7-8367B8ED33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129540</xdr:colOff>
      <xdr:row>0</xdr:row>
      <xdr:rowOff>140968</xdr:rowOff>
    </xdr:from>
    <xdr:to>
      <xdr:col>21</xdr:col>
      <xdr:colOff>381000</xdr:colOff>
      <xdr:row>33</xdr:row>
      <xdr:rowOff>152399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1DB8713D-132F-3478-A7F8-7005C7AA95B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aweł Woldan" refreshedDate="45930.790369907409" createdVersion="8" refreshedVersion="8" minRefreshableVersion="3" recordCount="101" xr:uid="{FE0C985D-128C-4416-86B6-B3BAC79E3336}">
  <cacheSource type="worksheet">
    <worksheetSource name="Tabela3"/>
  </cacheSource>
  <cacheFields count="35">
    <cacheField name="Rok" numFmtId="0">
      <sharedItems containsMixedTypes="1" containsNumber="1" containsInteger="1" minValue="1" maxValue="100" count="101">
        <s v="Początek Inwestycji"/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</sharedItems>
    </cacheField>
    <cacheField name="Inflacja" numFmtId="0">
      <sharedItems containsString="0" containsBlank="1" containsNumber="1" minValue="0.03" maxValue="0.03"/>
    </cacheField>
    <cacheField name="Stały % zmiany  stawki" numFmtId="0">
      <sharedItems containsString="0" containsBlank="1" containsNumber="1" minValue="0.04" maxValue="0.04"/>
    </cacheField>
    <cacheField name="Stała kwota zmiany stawki" numFmtId="0">
      <sharedItems containsString="0" containsBlank="1" containsNumber="1" containsInteger="1" minValue="0" maxValue="150"/>
    </cacheField>
    <cacheField name="Miesięczna stawka wynajmu" numFmtId="0">
      <sharedItems containsString="0" containsBlank="1" containsNumber="1" minValue="0" maxValue="11917.414419786281"/>
    </cacheField>
    <cacheField name="Liczba wynajętych miesięcy w roku" numFmtId="0">
      <sharedItems containsString="0" containsBlank="1" containsNumber="1" minValue="0" maxValue="11.5"/>
    </cacheField>
    <cacheField name="Przychody z wynajmu" numFmtId="3">
      <sharedItems containsString="0" containsBlank="1" containsNumber="1" minValue="0" maxValue="133058.51051217693"/>
    </cacheField>
    <cacheField name="Inflacja2" numFmtId="165">
      <sharedItems containsBlank="1" containsMixedTypes="1" containsNumber="1" minValue="0.03" maxValue="0.03"/>
    </cacheField>
    <cacheField name="Cena mieszkania + remont początkowy" numFmtId="167">
      <sharedItems containsString="0" containsBlank="1" containsNumber="1" containsInteger="1" minValue="408000" maxValue="408000"/>
    </cacheField>
    <cacheField name="Koszt zakupu" numFmtId="167">
      <sharedItems containsString="0" containsBlank="1" containsNumber="1" minValue="10787.46" maxValue="10787.46"/>
    </cacheField>
    <cacheField name="Koszt zaciągnięcia kredytu" numFmtId="167">
      <sharedItems containsString="0" containsBlank="1" containsNumber="1" containsInteger="1" minValue="6342" maxValue="6342"/>
    </cacheField>
    <cacheField name="Mały remont podczas najmu" numFmtId="0">
      <sharedItems containsString="0" containsBlank="1" containsNumber="1" minValue="0" maxValue="21919.530093535479"/>
    </cacheField>
    <cacheField name="Duże remont podczas najmu" numFmtId="0">
      <sharedItems containsString="0" containsBlank="1" containsNumber="1" minValue="0" maxValue="32620.377919990777"/>
    </cacheField>
    <cacheField name="Czynsz do administracji opłacany przez właściciela" numFmtId="0">
      <sharedItems containsString="0" containsBlank="1" containsNumber="1" minValue="0" maxValue="3404.975548510366"/>
    </cacheField>
    <cacheField name="Rata kredytu: odsetki" numFmtId="0">
      <sharedItems containsString="0" containsBlank="1" containsNumber="1" minValue="0" maxValue="10237.696479416292"/>
    </cacheField>
    <cacheField name="Rata kredytu: kapitał" numFmtId="0">
      <sharedItems containsString="0" containsBlank="1" containsNumber="1" minValue="0" maxValue="14396.715303114819"/>
    </cacheField>
    <cacheField name="Rata kredytu" numFmtId="0">
      <sharedItems containsString="0" containsBlank="1" containsNumber="1" minValue="0" maxValue="14759.582302643033"/>
    </cacheField>
    <cacheField name="Ubezpieczenie na życie" numFmtId="0">
      <sharedItems containsMixedTypes="1" containsNumber="1" minValue="0" maxValue="753.44564287058427"/>
    </cacheField>
    <cacheField name="Ubezpiczenie mieszkania" numFmtId="0">
      <sharedItems containsBlank="1" containsMixedTypes="1" containsNumber="1" minValue="0" maxValue="420.24"/>
    </cacheField>
    <cacheField name="Podatek od nieruchomości" numFmtId="0">
      <sharedItems containsString="0" containsBlank="1" containsNumber="1" minValue="0" maxValue="851.24388712759151"/>
    </cacheField>
    <cacheField name="Zarząd" numFmtId="0">
      <sharedItems containsString="0" containsBlank="1" containsNumber="1" containsInteger="1" minValue="0" maxValue="0"/>
    </cacheField>
    <cacheField name="Inne koszty" numFmtId="0">
      <sharedItems containsString="0" containsBlank="1" containsNumber="1" minValue="0" maxValue="638.43291534569357"/>
    </cacheField>
    <cacheField name="Wydatki związane z najmem całkowite" numFmtId="0">
      <sharedItems containsString="0" containsBlank="1" containsNumber="1" minValue="0" maxValue="52572.647909888052"/>
    </cacheField>
    <cacheField name="Podatek od przychodu" numFmtId="0">
      <sharedItems containsString="0" containsBlank="1" containsNumber="1" minValue="0" maxValue="12632.313814022116"/>
    </cacheField>
    <cacheField name="Wszystkie Koszty" numFmtId="0">
      <sharedItems containsSemiMixedTypes="0" containsString="0" containsNumber="1" minValue="0" maxValue="60863.924550134252"/>
    </cacheField>
    <cacheField name="Wynik z najmu netto rocznie" numFmtId="0">
      <sharedItems containsString="0" containsBlank="1" containsNumber="1" minValue="0" maxValue="117327.0077887097"/>
    </cacheField>
    <cacheField name="Skumulowany wynik z najmu netto z najmu" numFmtId="0">
      <sharedItems containsString="0" containsBlank="1" containsNumber="1" minValue="0" maxValue="2622653.2120716465"/>
    </cacheField>
    <cacheField name="Inflacja3" numFmtId="0">
      <sharedItems containsBlank="1" containsMixedTypes="1" containsNumber="1" minValue="0.03" maxValue="0.03"/>
    </cacheField>
    <cacheField name="Stały % zmiany warrtości" numFmtId="0">
      <sharedItems containsBlank="1" containsMixedTypes="1" containsNumber="1" minValue="0.01" maxValue="0.01"/>
    </cacheField>
    <cacheField name="Stała kwota zmiany wartości" numFmtId="0">
      <sharedItems containsBlank="1" containsMixedTypes="1" containsNumber="1" containsInteger="1" minValue="50000" maxValue="50000"/>
    </cacheField>
    <cacheField name="Wartość nieruchomości" numFmtId="0">
      <sharedItems containsString="0" containsBlank="1" containsNumber="1" minValue="0" maxValue="1736537.5297402868"/>
    </cacheField>
    <cacheField name="Przepływy pieniężne w danym roku " numFmtId="167">
      <sharedItems containsSemiMixedTypes="0" containsString="0" containsNumber="1" minValue="-425129.46" maxValue="1828428.4610862106"/>
    </cacheField>
    <cacheField name="ROE z najmu" numFmtId="0">
      <sharedItems containsString="0" containsBlank="1" containsNumber="1" minValue="0" maxValue="0.70201272587555585"/>
    </cacheField>
    <cacheField name="ROI z najmu" numFmtId="0">
      <sharedItems containsString="0" containsBlank="1" containsNumber="1" minValue="0" maxValue="0.27597948114136739"/>
    </cacheField>
    <cacheField name="Payback period" numFmtId="167">
      <sharedItems containsString="0" containsBlank="1" containsNumber="1" minValue="-154349.72794551364" maxValue="2455523.752071646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1">
  <r>
    <x v="0"/>
    <m/>
    <m/>
    <m/>
    <m/>
    <m/>
    <m/>
    <m/>
    <n v="408000"/>
    <n v="10787.46"/>
    <n v="6342"/>
    <m/>
    <m/>
    <m/>
    <m/>
    <m/>
    <m/>
    <n v="0"/>
    <m/>
    <m/>
    <m/>
    <m/>
    <m/>
    <m/>
    <n v="0"/>
    <m/>
    <m/>
    <m/>
    <m/>
    <m/>
    <m/>
    <n v="-425129.46"/>
    <m/>
    <m/>
    <m/>
  </r>
  <r>
    <x v="1"/>
    <n v="0.03"/>
    <n v="0.04"/>
    <n v="0"/>
    <n v="2800"/>
    <n v="11.5"/>
    <n v="32200"/>
    <n v="0.03"/>
    <m/>
    <m/>
    <m/>
    <n v="0"/>
    <n v="0"/>
    <n v="400"/>
    <n v="10237.696479416292"/>
    <n v="4521.8858232267385"/>
    <n v="14759.58230264303"/>
    <n v="753.44564287058427"/>
    <n v="420.24"/>
    <n v="200"/>
    <n v="0"/>
    <n v="150"/>
    <n v="16683.267945513617"/>
    <n v="2737"/>
    <n v="19420.267945513617"/>
    <n v="12779.732054486383"/>
    <n v="12779.732054486383"/>
    <n v="0.03"/>
    <n v="0.01"/>
    <n v="50000"/>
    <n v="408000"/>
    <n v="12779.732054486383"/>
    <n v="7.6466064417885282E-2"/>
    <n v="3.0060800901650954E-2"/>
    <n v="-154349.72794551364"/>
  </r>
  <r>
    <x v="2"/>
    <n v="0.03"/>
    <n v="0.04"/>
    <n v="150"/>
    <n v="2884"/>
    <n v="11.5"/>
    <n v="33166"/>
    <n v="0.03"/>
    <m/>
    <m/>
    <m/>
    <n v="0"/>
    <n v="0"/>
    <n v="412"/>
    <n v="10053.467874070911"/>
    <n v="4706.1144285721193"/>
    <n v="14759.58230264303"/>
    <n v="739.04256917772716"/>
    <n v="420.24"/>
    <n v="206"/>
    <n v="0"/>
    <n v="154.5"/>
    <n v="16691.364871820759"/>
    <n v="2819.11"/>
    <n v="19510.474871820759"/>
    <n v="13655.525128179241"/>
    <n v="26435.257182665624"/>
    <n v="0.03"/>
    <n v="0.01"/>
    <n v="50000"/>
    <n v="420240"/>
    <n v="13655.525128179241"/>
    <n v="8.1706272061067148E-2"/>
    <n v="3.2120862967669285E-2"/>
    <n v="-140694.20281733439"/>
  </r>
  <r>
    <x v="3"/>
    <n v="0.03"/>
    <n v="0.04"/>
    <n v="150"/>
    <n v="2970.52"/>
    <n v="11.5"/>
    <n v="34160.980000000003"/>
    <n v="0.03"/>
    <m/>
    <m/>
    <m/>
    <n v="0"/>
    <n v="0"/>
    <n v="424.35999999999996"/>
    <n v="9861.7335110938002"/>
    <n v="4897.8487915492306"/>
    <n v="14759.58230264303"/>
    <n v="724.05269203983596"/>
    <n v="420.24"/>
    <n v="212.17999999999998"/>
    <n v="0"/>
    <n v="159.13499999999999"/>
    <n v="16699.549994682868"/>
    <n v="2903.6833000000006"/>
    <n v="19603.233294682868"/>
    <n v="14557.746705317135"/>
    <n v="40993.003887982763"/>
    <n v="0.03"/>
    <n v="0.01"/>
    <n v="50000"/>
    <n v="432847.2"/>
    <n v="14557.746705317135"/>
    <n v="8.7104611630511655E-2"/>
    <n v="3.4243090811248732E-2"/>
    <n v="-126136.45611201726"/>
  </r>
  <r>
    <x v="4"/>
    <n v="0.03"/>
    <n v="0.04"/>
    <n v="150"/>
    <n v="3059.6356000000001"/>
    <n v="11.5"/>
    <n v="35185.809399999998"/>
    <n v="0.03"/>
    <m/>
    <m/>
    <m/>
    <n v="0"/>
    <n v="0"/>
    <n v="437.0908"/>
    <n v="9662.1875943382584"/>
    <n v="5097.3947083047742"/>
    <n v="14759.582302643033"/>
    <n v="708.45210417916871"/>
    <n v="420.24"/>
    <n v="218.5454"/>
    <n v="0"/>
    <n v="163.90905000000001"/>
    <n v="16707.819656822201"/>
    <n v="2990.793799"/>
    <n v="19698.6134558222"/>
    <n v="15487.195944177798"/>
    <n v="56480.199832160564"/>
    <n v="0.03"/>
    <n v="0.01"/>
    <n v="50000"/>
    <n v="445832.61600000004"/>
    <n v="15487.195944177798"/>
    <n v="9.2665864798329362E-2"/>
    <n v="3.6429364232198343E-2"/>
    <n v="-110649.26016783946"/>
  </r>
  <r>
    <x v="5"/>
    <n v="0.03"/>
    <n v="0.04"/>
    <n v="150"/>
    <n v="3151.4246680000001"/>
    <n v="11.5"/>
    <n v="36241.383682"/>
    <n v="0.03"/>
    <m/>
    <m/>
    <m/>
    <n v="0"/>
    <n v="0"/>
    <n v="450.20352400000007"/>
    <n v="9454.5118690507479"/>
    <n v="5305.0704335922819"/>
    <n v="14759.58230264303"/>
    <n v="692.2159242986022"/>
    <n v="420.24"/>
    <n v="225.10176200000004"/>
    <n v="0"/>
    <n v="168.82632150000003"/>
    <n v="16716.169834441633"/>
    <n v="3080.5176129700003"/>
    <n v="19796.687447411634"/>
    <n v="16444.696234588366"/>
    <n v="72924.89606674893"/>
    <n v="0.03"/>
    <n v="0.01"/>
    <n v="50000"/>
    <n v="459207.59448000003"/>
    <n v="16444.696234588366"/>
    <n v="9.8394958223333953E-2"/>
    <n v="3.8681620028375274E-2"/>
    <n v="-94204.563933251091"/>
  </r>
  <r>
    <x v="6"/>
    <n v="0.03"/>
    <n v="0.04"/>
    <n v="150"/>
    <n v="3245.96740804"/>
    <n v="11.5"/>
    <n v="37328.62519246"/>
    <n v="0.03"/>
    <m/>
    <m/>
    <m/>
    <n v="0"/>
    <n v="0"/>
    <n v="463.70962972000001"/>
    <n v="9238.3751142880428"/>
    <n v="5521.2071883549879"/>
    <n v="14759.58230264303"/>
    <n v="675.31825739857811"/>
    <n v="420.24"/>
    <n v="231.85481486"/>
    <n v="0"/>
    <n v="173.891111145"/>
    <n v="16724.59611576661"/>
    <n v="3172.9331413591003"/>
    <n v="19897.529257125709"/>
    <n v="17431.095935334291"/>
    <n v="90355.992002083221"/>
    <n v="0.03"/>
    <n v="0.01"/>
    <n v="50000"/>
    <n v="472983.82231440005"/>
    <n v="17431.095935334291"/>
    <n v="0.10429696796324411"/>
    <n v="4.1001853730236175E-2"/>
    <n v="-76773.4679979168"/>
  </r>
  <r>
    <x v="7"/>
    <n v="0.03"/>
    <n v="0.04"/>
    <n v="150"/>
    <n v="3343.3464302811999"/>
    <n v="11.5"/>
    <n v="38448.483948233799"/>
    <n v="0.03"/>
    <m/>
    <m/>
    <m/>
    <n v="0"/>
    <n v="0"/>
    <n v="477.62091861160008"/>
    <n v="9013.4326146546264"/>
    <n v="5746.1496879884044"/>
    <n v="14759.58230264303"/>
    <n v="657.7321534773024"/>
    <n v="420.24"/>
    <n v="238.81045930580004"/>
    <n v="0"/>
    <n v="179.10784447935001"/>
    <n v="16733.093678517085"/>
    <n v="3268.121135599873"/>
    <n v="20001.21481411696"/>
    <n v="18447.269134116839"/>
    <n v="108803.26113620006"/>
    <n v="0.03"/>
    <n v="0.01"/>
    <n v="50000"/>
    <n v="487173.33698383207"/>
    <n v="18447.269134116839"/>
    <n v="0.11037712402180225"/>
    <n v="4.3392121388427983E-2"/>
    <n v="-58326.19886379996"/>
  </r>
  <r>
    <x v="8"/>
    <n v="0.03"/>
    <n v="0.04"/>
    <n v="150"/>
    <n v="3443.6468231896361"/>
    <n v="11.5"/>
    <n v="39601.938466680818"/>
    <n v="0.03"/>
    <m/>
    <m/>
    <m/>
    <n v="0"/>
    <n v="0"/>
    <n v="491.94954616994806"/>
    <n v="8779.3256105179116"/>
    <n v="5980.25669212512"/>
    <n v="14759.582302643032"/>
    <n v="639.42956454832608"/>
    <n v="420.24"/>
    <n v="245.97477308497403"/>
    <n v="0"/>
    <n v="184.48107981373053"/>
    <n v="16741.657266260008"/>
    <n v="3366.1647696678697"/>
    <n v="20107.822035927878"/>
    <n v="19494.11643075294"/>
    <n v="128297.377566953"/>
    <n v="0.03"/>
    <n v="0.01"/>
    <n v="50000"/>
    <n v="501788.53709334705"/>
    <n v="19494.11643075294"/>
    <n v="0.11664081503496114"/>
    <n v="4.5854541416049922E-2"/>
    <n v="-38832.08243304702"/>
  </r>
  <r>
    <x v="9"/>
    <n v="0.03"/>
    <n v="0.04"/>
    <n v="150"/>
    <n v="3546.956227885325"/>
    <n v="11.5"/>
    <n v="40789.996620681239"/>
    <n v="0.03"/>
    <m/>
    <m/>
    <m/>
    <n v="0"/>
    <n v="0"/>
    <n v="506.70803255504654"/>
    <n v="8535.6807258243371"/>
    <n v="6223.9015768186946"/>
    <n v="14759.582302643032"/>
    <n v="620.38129990695666"/>
    <n v="420.24"/>
    <n v="253.35401627752327"/>
    <n v="0"/>
    <n v="190.01551220814247"/>
    <n v="16750.281163590698"/>
    <n v="3467.1497127579055"/>
    <n v="20217.430876348604"/>
    <n v="20572.565744332634"/>
    <n v="148869.94331128563"/>
    <n v="0.03"/>
    <n v="0.01"/>
    <n v="50000"/>
    <n v="516842.19320614747"/>
    <n v="20572.565744332634"/>
    <n v="0.12309359310041827"/>
    <n v="4.8391296487269156E-2"/>
    <n v="-18259.516688714386"/>
  </r>
  <r>
    <x v="10"/>
    <n v="0.03"/>
    <n v="0.04"/>
    <n v="150"/>
    <n v="3653.3649147218848"/>
    <n v="11"/>
    <n v="40187.014061940732"/>
    <n v="0.03"/>
    <m/>
    <m/>
    <m/>
    <n v="6719.5818967206114"/>
    <n v="0"/>
    <n v="1043.818547063396"/>
    <n v="8282.1093726038325"/>
    <n v="6477.4729300392"/>
    <n v="14759.582302643033"/>
    <n v="600.55697957415339"/>
    <n v="420.24"/>
    <n v="260.95463676584899"/>
    <n v="0"/>
    <n v="195.71597757438673"/>
    <n v="24000.450340341424"/>
    <n v="3415.8961952649624"/>
    <n v="27416.346535606386"/>
    <n v="12770.667526334346"/>
    <n v="161640.61083761998"/>
    <n v="0.03"/>
    <n v="0.01"/>
    <n v="50000"/>
    <n v="532347.45900233195"/>
    <n v="12770.667526334346"/>
    <n v="7.6411827850902794E-2"/>
    <n v="3.0039479094989902E-2"/>
    <n v="-5488.8491623800364"/>
  </r>
  <r>
    <x v="11"/>
    <n v="0.03"/>
    <n v="0.04"/>
    <n v="150"/>
    <n v="3762.9658621635413"/>
    <n v="11.5"/>
    <n v="43274.107414880724"/>
    <n v="0.03"/>
    <m/>
    <m/>
    <m/>
    <n v="0"/>
    <n v="0"/>
    <n v="537.56655173764887"/>
    <n v="8018.2071312128628"/>
    <n v="6741.375171430167"/>
    <n v="14759.58230264303"/>
    <n v="579.92498584365569"/>
    <n v="420.24"/>
    <n v="268.78327586882443"/>
    <n v="0"/>
    <n v="201.58745690161834"/>
    <n v="16767.684572994778"/>
    <n v="3678.299130264862"/>
    <n v="20445.983703259641"/>
    <n v="22828.123711621083"/>
    <n v="184468.73454924108"/>
    <n v="0.03"/>
    <n v="0.01"/>
    <n v="50000"/>
    <n v="548317.88277240191"/>
    <n v="22828.123711621083"/>
    <n v="0.13658946610382802"/>
    <n v="5.3696875562613523E-2"/>
    <n v="17339.274549241061"/>
  </r>
  <r>
    <x v="12"/>
    <n v="0.03"/>
    <n v="0.04"/>
    <n v="150"/>
    <n v="3875.8548380284474"/>
    <n v="11.5"/>
    <n v="44572.330637327148"/>
    <n v="0.03"/>
    <m/>
    <m/>
    <m/>
    <n v="0"/>
    <n v="0"/>
    <n v="553.69354828977839"/>
    <n v="7743.5531053276372"/>
    <n v="7016.0291973153926"/>
    <n v="14759.58230264303"/>
    <n v="558.45241285506586"/>
    <n v="420.24"/>
    <n v="276.8467741448892"/>
    <n v="0"/>
    <n v="207.6350806086669"/>
    <n v="16776.45011854143"/>
    <n v="3788.648104172808"/>
    <n v="20565.098222714238"/>
    <n v="24007.23241461291"/>
    <n v="208475.96696385398"/>
    <n v="0.03"/>
    <n v="0.01"/>
    <n v="50000"/>
    <n v="564767.419255574"/>
    <n v="24007.23241461291"/>
    <n v="0.14364452810780881"/>
    <n v="5.6470404131985841E-2"/>
    <n v="41346.506963853957"/>
  </r>
  <r>
    <x v="13"/>
    <n v="0.03"/>
    <n v="0.04"/>
    <n v="150"/>
    <n v="3992.130483169301"/>
    <n v="11.5"/>
    <n v="45909.500556446961"/>
    <n v="0.03"/>
    <m/>
    <m/>
    <m/>
    <n v="0"/>
    <n v="0"/>
    <n v="570.30435473847172"/>
    <n v="7457.7092506587151"/>
    <n v="7301.8730519843166"/>
    <n v="14759.582302643032"/>
    <n v="536.10501411246321"/>
    <n v="420.24"/>
    <n v="285.15217736923586"/>
    <n v="0"/>
    <n v="213.86413302692691"/>
    <n v="16785.247981890127"/>
    <n v="3902.3075472979922"/>
    <n v="20687.555529188117"/>
    <n v="25221.945027258844"/>
    <n v="233697.91199111281"/>
    <n v="0.03"/>
    <n v="0.01"/>
    <n v="50000"/>
    <n v="581710.44183324126"/>
    <n v="25221.945027258844"/>
    <n v="0.15091262203120168"/>
    <n v="5.9327681095680464E-2"/>
    <n v="66568.451991112786"/>
  </r>
  <r>
    <x v="14"/>
    <n v="0.03"/>
    <n v="0.04"/>
    <n v="150"/>
    <n v="4111.8943976643804"/>
    <n v="11.5"/>
    <n v="47286.785573140376"/>
    <n v="0.03"/>
    <m/>
    <m/>
    <m/>
    <n v="0"/>
    <n v="0"/>
    <n v="587.41348538062596"/>
    <n v="7160.2196763164411"/>
    <n v="7599.3626263265915"/>
    <n v="14759.582302643033"/>
    <n v="512.84714786484324"/>
    <n v="420.24"/>
    <n v="293.70674269031298"/>
    <n v="0"/>
    <n v="220.28005701773472"/>
    <n v="16794.069735596549"/>
    <n v="4019.3767737169323"/>
    <n v="20813.446509313482"/>
    <n v="26473.339063826894"/>
    <n v="260171.2510549397"/>
    <n v="0.03"/>
    <n v="0.01"/>
    <n v="50000"/>
    <n v="599161.75508823851"/>
    <n v="26473.339063826894"/>
    <n v="0.15840019505733394"/>
    <n v="6.2271241009331353E-2"/>
    <n v="93041.791054939677"/>
  </r>
  <r>
    <x v="15"/>
    <n v="0.03"/>
    <n v="0.04"/>
    <n v="150"/>
    <n v="4235.2512295943116"/>
    <n v="11.5"/>
    <n v="48705.389140334584"/>
    <n v="0.03"/>
    <m/>
    <m/>
    <m/>
    <n v="0"/>
    <n v="0"/>
    <n v="605.03588994204472"/>
    <n v="6850.6099177129099"/>
    <n v="7908.9723849301208"/>
    <n v="14759.58230264303"/>
    <n v="488.64172026127301"/>
    <n v="420.24"/>
    <n v="302.51794497102236"/>
    <n v="0"/>
    <n v="226.88845872826678"/>
    <n v="16802.906316545639"/>
    <n v="4139.9580769284403"/>
    <n v="20942.864393474079"/>
    <n v="27762.524746860505"/>
    <n v="287933.77580180019"/>
    <n v="0.03"/>
    <n v="0.01"/>
    <n v="50000"/>
    <n v="617136.60774088569"/>
    <n v="27762.524746860505"/>
    <n v="0.16611389007575625"/>
    <n v="6.5303695365784592E-2"/>
    <n v="120804.31580180017"/>
  </r>
  <r>
    <x v="16"/>
    <n v="0.03"/>
    <n v="0.04"/>
    <n v="150"/>
    <n v="4362.3087664821414"/>
    <n v="11.5"/>
    <n v="50166.550814544629"/>
    <n v="0.03"/>
    <m/>
    <m/>
    <m/>
    <n v="0"/>
    <n v="0"/>
    <n v="623.18696664030608"/>
    <n v="6528.3861798408498"/>
    <n v="8231.1961228021828"/>
    <n v="14759.582302643033"/>
    <n v="463.45012619010015"/>
    <n v="420.24"/>
    <n v="311.59348332015304"/>
    <n v="0"/>
    <n v="233.69511249011481"/>
    <n v="16811.747991283708"/>
    <n v="4264.1568192362938"/>
    <n v="21075.904810520002"/>
    <n v="29090.646004024627"/>
    <n v="317024.42180582479"/>
    <n v="0.03"/>
    <n v="0.01"/>
    <n v="50000"/>
    <n v="635650.70597311226"/>
    <n v="29090.646004024627"/>
    <n v="0.1740605516467571"/>
    <n v="6.8427734939904256E-2"/>
    <n v="149894.96180582477"/>
  </r>
  <r>
    <x v="17"/>
    <n v="0.03"/>
    <n v="0.04"/>
    <n v="150"/>
    <n v="4493.1780294766058"/>
    <n v="11.5"/>
    <n v="51671.54733898097"/>
    <n v="0.03"/>
    <m/>
    <m/>
    <m/>
    <n v="0"/>
    <n v="0"/>
    <n v="641.88257563951538"/>
    <n v="6193.034549722498"/>
    <n v="8566.5477529205309"/>
    <n v="14759.58230264303"/>
    <n v="437.23218770785871"/>
    <n v="420.24"/>
    <n v="320.94128781975769"/>
    <n v="0"/>
    <n v="240.70596586481827"/>
    <n v="16820.584319674981"/>
    <n v="4392.0815238133828"/>
    <n v="21212.665843488365"/>
    <n v="30458.881495492602"/>
    <n v="347483.30330131738"/>
    <n v="0.03"/>
    <n v="0.01"/>
    <n v="50000"/>
    <n v="654720.22715230566"/>
    <n v="30458.881495492602"/>
    <n v="0.1822472321486146"/>
    <n v="7.1646132205217206E-2"/>
    <n v="180353.84330131736"/>
  </r>
  <r>
    <x v="18"/>
    <n v="0.03"/>
    <n v="0.04"/>
    <n v="150"/>
    <n v="4627.9733703609045"/>
    <n v="11.5"/>
    <n v="53221.693759150403"/>
    <n v="0.03"/>
    <m/>
    <m/>
    <m/>
    <n v="0"/>
    <n v="0"/>
    <n v="661.13905290870082"/>
    <n v="5844.0201767724584"/>
    <n v="8915.5621258705723"/>
    <n v="14759.58230264303"/>
    <n v="409.94608995967445"/>
    <n v="420.24"/>
    <n v="330.56952645435041"/>
    <n v="0"/>
    <n v="247.92714484076279"/>
    <n v="16829.40411680652"/>
    <n v="4523.8439695277848"/>
    <n v="21353.248086334304"/>
    <n v="31868.445672816095"/>
    <n v="379351.74897413346"/>
    <n v="0.03"/>
    <n v="0.01"/>
    <n v="50000"/>
    <n v="674361.83396687487"/>
    <n v="31868.445672816095"/>
    <n v="0.19068119811322368"/>
    <n v="7.4961743824613083E-2"/>
    <n v="212222.28897413344"/>
  </r>
  <r>
    <x v="19"/>
    <n v="0.03"/>
    <n v="0.04"/>
    <n v="150"/>
    <n v="4766.8125714717316"/>
    <n v="11.5"/>
    <n v="54818.344571924914"/>
    <n v="0.03"/>
    <m/>
    <m/>
    <m/>
    <n v="0"/>
    <n v="0"/>
    <n v="680.97322449596186"/>
    <n v="5480.7864197672516"/>
    <n v="9278.7958828757783"/>
    <n v="14759.58230264303"/>
    <n v="381.5483144889692"/>
    <n v="420.24"/>
    <n v="340.48661224798093"/>
    <n v="0"/>
    <n v="255.3649591859857"/>
    <n v="16838.195413061927"/>
    <n v="4659.5592886136183"/>
    <n v="21497.754701675545"/>
    <n v="33320.589870249372"/>
    <n v="412672.33884438284"/>
    <n v="0.03"/>
    <n v="0.01"/>
    <n v="50000"/>
    <n v="694592.68898588116"/>
    <n v="33320.589870249372"/>
    <n v="0.19936993675590986"/>
    <n v="7.8377513217384107E-2"/>
    <n v="245542.87884438282"/>
  </r>
  <r>
    <x v="20"/>
    <n v="0.03"/>
    <n v="0.04"/>
    <n v="150"/>
    <n v="4909.816948615884"/>
    <n v="11"/>
    <n v="54007.986434774721"/>
    <n v="0.03"/>
    <m/>
    <m/>
    <m/>
    <n v="9030.5561733470749"/>
    <n v="18061.11234669415"/>
    <n v="1402.8048424616816"/>
    <n v="5102.7539590611004"/>
    <n v="9656.8283435819303"/>
    <n v="14759.58230264303"/>
    <n v="351.99356983009756"/>
    <n v="420.24"/>
    <n v="350.70121061542039"/>
    <n v="0"/>
    <n v="263.02590796156528"/>
    <n v="44640.016353553023"/>
    <n v="4590.6788469558514"/>
    <n v="49230.695200508875"/>
    <n v="4777.2912342658465"/>
    <n v="417449.63007864868"/>
    <n v="0.03"/>
    <n v="0.01"/>
    <n v="50000"/>
    <n v="715430.46965545765"/>
    <n v="4777.2912342658465"/>
    <n v="2.8584375455206076E-2"/>
    <n v="1.1237262254810209E-2"/>
    <n v="250320.17007864866"/>
  </r>
  <r>
    <x v="21"/>
    <n v="0.03"/>
    <n v="0.04"/>
    <n v="150"/>
    <n v="5057.1114570743603"/>
    <n v="11.5"/>
    <n v="58156.781756355143"/>
    <n v="0.03"/>
    <m/>
    <m/>
    <m/>
    <n v="0"/>
    <n v="0"/>
    <n v="722.44449386776603"/>
    <n v="4709.319872632017"/>
    <n v="10050.262430011015"/>
    <n v="14759.582302643032"/>
    <n v="321.23471927322305"/>
    <n v="420.24"/>
    <n v="361.22224693388301"/>
    <n v="0"/>
    <n v="270.91668520041225"/>
    <n v="16855.640447918318"/>
    <n v="4943.3264492901872"/>
    <n v="21798.966897208506"/>
    <n v="36357.814859146638"/>
    <n v="453807.44493779534"/>
    <n v="0.03"/>
    <n v="0.01"/>
    <n v="50000"/>
    <n v="736893.38374512142"/>
    <n v="36357.814859146638"/>
    <n v="0.21754282494029858"/>
    <n v="8.5521748737776571E-2"/>
    <n v="286677.98493779532"/>
  </r>
  <r>
    <x v="22"/>
    <n v="0.03"/>
    <n v="0.04"/>
    <n v="150"/>
    <n v="5208.8248007865914"/>
    <n v="11.5"/>
    <n v="59901.485209045801"/>
    <n v="0.03"/>
    <m/>
    <m/>
    <m/>
    <n v="0"/>
    <n v="0"/>
    <n v="744.11782868379908"/>
    <n v="4299.856674484573"/>
    <n v="10459.725628158458"/>
    <n v="14759.58230264303"/>
    <n v="289.2227056862223"/>
    <n v="420.24"/>
    <n v="372.05891434189954"/>
    <n v="0"/>
    <n v="279.04418575642467"/>
    <n v="16864.265937111377"/>
    <n v="5091.6262427688935"/>
    <n v="21955.892179880269"/>
    <n v="37945.593029165531"/>
    <n v="491753.03796696087"/>
    <n v="0.03"/>
    <n v="0.01"/>
    <n v="50000"/>
    <n v="759000.18525747512"/>
    <n v="37945.593029165531"/>
    <n v="0.22704311393793486"/>
    <n v="8.9256559705755342E-2"/>
    <n v="324623.57796696085"/>
  </r>
  <r>
    <x v="23"/>
    <n v="0.03"/>
    <n v="0.04"/>
    <n v="150"/>
    <n v="5365.0895448101892"/>
    <n v="11.5"/>
    <n v="61698.529765317173"/>
    <n v="0.03"/>
    <m/>
    <m/>
    <m/>
    <n v="0"/>
    <n v="0"/>
    <n v="766.44136354431305"/>
    <n v="3873.7113138757322"/>
    <n v="10885.870988767298"/>
    <n v="14759.58230264303"/>
    <n v="255.90647327371781"/>
    <n v="420.24"/>
    <n v="383.22068177215652"/>
    <n v="0"/>
    <n v="287.41551132911741"/>
    <n v="16872.806332562333"/>
    <n v="5244.3750300519605"/>
    <n v="22117.181362614294"/>
    <n v="39581.348402702875"/>
    <n v="531334.38636966376"/>
    <n v="0.03"/>
    <n v="0.01"/>
    <n v="50000"/>
    <n v="781770.1908151994"/>
    <n v="39581.348402702875"/>
    <n v="0.2368304690429974"/>
    <n v="9.310422383502398E-2"/>
    <n v="364204.92636966374"/>
  </r>
  <r>
    <x v="24"/>
    <n v="0.03"/>
    <n v="0.04"/>
    <n v="150"/>
    <n v="5526.0422311544953"/>
    <n v="11.5"/>
    <n v="63549.485658276695"/>
    <n v="0.03"/>
    <m/>
    <m/>
    <m/>
    <n v="0"/>
    <n v="0"/>
    <n v="789.4346044506425"/>
    <n v="3430.2041337675764"/>
    <n v="11329.378168875455"/>
    <n v="14759.582302643032"/>
    <n v="221.23288614845362"/>
    <n v="420.24"/>
    <n v="394.71730222532125"/>
    <n v="0"/>
    <n v="296.03797666899095"/>
    <n v="16881.245072136444"/>
    <n v="5401.7062809535191"/>
    <n v="22282.951353089964"/>
    <n v="41266.534305186731"/>
    <n v="572600.92067485047"/>
    <n v="0.03"/>
    <n v="0.01"/>
    <n v="50000"/>
    <n v="805223.29653965542"/>
    <n v="41266.534305186731"/>
    <n v="0.24691358606188715"/>
    <n v="9.7068159673495052E-2"/>
    <n v="405471.46067485044"/>
  </r>
  <r>
    <x v="25"/>
    <n v="0.03"/>
    <n v="0.04"/>
    <n v="150"/>
    <n v="5691.8234980891302"/>
    <n v="11.5"/>
    <n v="65455.970228024999"/>
    <n v="0.03"/>
    <m/>
    <m/>
    <m/>
    <n v="0"/>
    <n v="0"/>
    <n v="813.11764258416179"/>
    <n v="2968.6277868458083"/>
    <n v="11790.954515797222"/>
    <n v="14759.58230264303"/>
    <n v="185.14664358514239"/>
    <n v="420.24"/>
    <n v="406.55882129208089"/>
    <n v="0"/>
    <n v="304.91911596906067"/>
    <n v="16889.564526073478"/>
    <n v="5563.7574693821252"/>
    <n v="22453.321995455604"/>
    <n v="43002.648232569394"/>
    <n v="615603.56890741992"/>
    <n v="0.03"/>
    <n v="0.01"/>
    <n v="50000"/>
    <n v="829379.99543584511"/>
    <n v="43002.648232569394"/>
    <n v="0.25730142509028264"/>
    <n v="0.10115188966807756"/>
    <n v="448474.1089074199"/>
  </r>
  <r>
    <x v="26"/>
    <n v="0.03"/>
    <n v="0.04"/>
    <n v="150"/>
    <n v="5862.5782030318042"/>
    <n v="11.5"/>
    <n v="67419.649334865753"/>
    <n v="0.03"/>
    <m/>
    <m/>
    <m/>
    <n v="0"/>
    <n v="0"/>
    <n v="837.51117186168665"/>
    <n v="2488.2461073751692"/>
    <n v="12271.336195267861"/>
    <n v="14759.58230264303"/>
    <n v="147.59019182162405"/>
    <n v="420.24"/>
    <n v="418.75558593084332"/>
    <n v="0"/>
    <n v="314.06668944813248"/>
    <n v="16897.745941705318"/>
    <n v="5730.6701934635894"/>
    <n v="22628.416135168907"/>
    <n v="44791.233199696842"/>
    <n v="660394.80210711679"/>
    <n v="0.03"/>
    <n v="0.01"/>
    <n v="50000"/>
    <n v="854261.39529892046"/>
    <n v="44791.233199696842"/>
    <n v="0.26800321858095416"/>
    <n v="0.10535904333634474"/>
    <n v="493265.34210711677"/>
  </r>
  <r>
    <x v="27"/>
    <n v="0.03"/>
    <n v="0.04"/>
    <n v="150"/>
    <n v="6038.4555491227584"/>
    <n v="11.5"/>
    <n v="69442.238814911718"/>
    <n v="0.03"/>
    <m/>
    <m/>
    <m/>
    <n v="0"/>
    <n v="0"/>
    <n v="862.63650701753727"/>
    <n v="1988.2929370924949"/>
    <n v="12771.289365550536"/>
    <n v="14759.58230264303"/>
    <n v="108.5036322666673"/>
    <n v="420.24"/>
    <n v="431.31825350876863"/>
    <n v="0"/>
    <n v="323.4886901315765"/>
    <n v="16905.769385567583"/>
    <n v="5902.5902992674964"/>
    <n v="22808.359684835079"/>
    <n v="46633.879130076639"/>
    <n v="707028.68123719341"/>
    <n v="0.03"/>
    <n v="0.01"/>
    <n v="50000"/>
    <n v="879889.23715788813"/>
    <n v="46633.879130076639"/>
    <n v="0.27902847965928107"/>
    <n v="0.10969336053558047"/>
    <n v="539899.22123719333"/>
  </r>
  <r>
    <x v="28"/>
    <n v="0.03"/>
    <n v="0.04"/>
    <n v="150"/>
    <n v="6219.6092155964416"/>
    <n v="11.5"/>
    <n v="71525.505979359077"/>
    <n v="0.03"/>
    <m/>
    <m/>
    <m/>
    <n v="0"/>
    <n v="0"/>
    <n v="888.51560222806347"/>
    <n v="1467.9709032648652"/>
    <n v="13291.611399378166"/>
    <n v="14759.58230264303"/>
    <n v="67.824625968015397"/>
    <n v="420.24"/>
    <n v="444.25780111403174"/>
    <n v="0"/>
    <n v="333.1933508355238"/>
    <n v="16913.613682788669"/>
    <n v="6079.6680082455223"/>
    <n v="22993.281691034193"/>
    <n v="48532.224288324891"/>
    <n v="755560.90552551835"/>
    <n v="0.03"/>
    <n v="0.01"/>
    <n v="50000"/>
    <n v="906285.91427262477"/>
    <n v="48532.224288324891"/>
    <n v="0.29038701069413425"/>
    <n v="0.11415869483221626"/>
    <n v="588431.44552551839"/>
  </r>
  <r>
    <x v="29"/>
    <n v="0.03"/>
    <n v="0.04"/>
    <n v="150"/>
    <n v="6406.1974920643352"/>
    <n v="11.5"/>
    <n v="73671.271158739852"/>
    <n v="0.03"/>
    <m/>
    <m/>
    <m/>
    <n v="0"/>
    <n v="0"/>
    <n v="915.17107029490535"/>
    <n v="926.45014696393423"/>
    <n v="13833.132155679097"/>
    <n v="14759.582302643032"/>
    <n v="25.488294188312597"/>
    <n v="420.24"/>
    <n v="457.58553514745267"/>
    <n v="0"/>
    <n v="343.18915136058951"/>
    <n v="16921.256353634293"/>
    <n v="6262.0580484928878"/>
    <n v="23183.31440212718"/>
    <n v="50487.956756612672"/>
    <n v="806048.86228213098"/>
    <n v="0.03"/>
    <n v="0.01"/>
    <n v="50000"/>
    <n v="933474.49170080351"/>
    <n v="50487.956756612672"/>
    <n v="0.30208891213202427"/>
    <n v="0.11875901697476497"/>
    <n v="638919.4022821309"/>
  </r>
  <r>
    <x v="30"/>
    <n v="0.03"/>
    <n v="0.04"/>
    <n v="150"/>
    <n v="6598.3834168262656"/>
    <n v="11"/>
    <n v="72582.217585088918"/>
    <n v="0.03"/>
    <m/>
    <m/>
    <m/>
    <n v="12136.312355948314"/>
    <n v="0"/>
    <n v="1885.2524048075049"/>
    <n v="362.86699952821232"/>
    <n v="14396.715303114819"/>
    <n v="14759.582302643032"/>
    <s v=""/>
    <n v="420.24"/>
    <n v="471.31310120187624"/>
    <n v="0"/>
    <n v="353.48482590140719"/>
    <n v="30026.184990502137"/>
    <n v="6169.4884947325581"/>
    <n v="36195.673485234693"/>
    <n v="36386.544099854225"/>
    <n v="842435.40638198517"/>
    <n v="0.03"/>
    <n v="0.01"/>
    <n v="50000"/>
    <n v="961478.72645182768"/>
    <n v="36386.544099854225"/>
    <n v="0.21771472306470815"/>
    <n v="8.5589326366265525E-2"/>
    <n v="675305.94638198521"/>
  </r>
  <r>
    <x v="31"/>
    <n v="0.03"/>
    <n v="0.04"/>
    <n v="150"/>
    <n v="6796.3349193310542"/>
    <n v="11.5"/>
    <n v="78157.851572307118"/>
    <n v="0.03"/>
    <m/>
    <m/>
    <m/>
    <n v="0"/>
    <n v="0"/>
    <n v="970.90498847586503"/>
    <n v="4.0862630959697981"/>
    <n v="1225.8789287909494"/>
    <n v="1229.9651918869192"/>
    <s v=""/>
    <s v=""/>
    <n v="485.45249423793251"/>
    <n v="0"/>
    <n v="364.08937067844937"/>
    <n v="3050.4120452791658"/>
    <n v="6643.4173836461059"/>
    <n v="9693.8294289252717"/>
    <n v="68464.022143381837"/>
    <n v="910899.42852536705"/>
    <n v="0.03"/>
    <n v="0.01"/>
    <n v="50000"/>
    <n v="990323.08824538253"/>
    <n v="68464.022143381837"/>
    <n v="0.40964664244940319"/>
    <n v="0.16104276128824813"/>
    <n v="743769.96852536709"/>
  </r>
  <r>
    <x v="32"/>
    <n v="0.03"/>
    <n v="0.04"/>
    <n v="150"/>
    <n v="7000.224966910986"/>
    <n v="11.5"/>
    <n v="80502.587119476346"/>
    <n v="0.03"/>
    <m/>
    <m/>
    <m/>
    <n v="0"/>
    <n v="0"/>
    <n v="1000.032138130141"/>
    <n v="0"/>
    <n v="0"/>
    <n v="0"/>
    <s v=""/>
    <s v=""/>
    <n v="500.0160690650705"/>
    <n v="0"/>
    <n v="375.01205179880287"/>
    <n v="1875.0602589940145"/>
    <n v="6842.7199051554899"/>
    <n v="8717.7801641495043"/>
    <n v="71784.806955326843"/>
    <n v="982684.23548069387"/>
    <n v="0.03"/>
    <n v="0.01"/>
    <n v="50000"/>
    <n v="1020032.7808927441"/>
    <n v="71784.806955326843"/>
    <n v="0.42951617838845907"/>
    <n v="0.16885399321732925"/>
    <n v="815554.7754806939"/>
  </r>
  <r>
    <x v="33"/>
    <n v="0.03"/>
    <n v="0.04"/>
    <n v="150"/>
    <n v="7210.2317159183158"/>
    <n v="11.5"/>
    <n v="82917.664733060636"/>
    <n v="0.03"/>
    <m/>
    <m/>
    <m/>
    <n v="0"/>
    <n v="0"/>
    <n v="1030.0331022740454"/>
    <n v="0"/>
    <n v="0"/>
    <n v="0"/>
    <s v=""/>
    <s v=""/>
    <n v="515.0165511370227"/>
    <n v="0"/>
    <n v="386.262413352767"/>
    <n v="1931.312066763835"/>
    <n v="7048.0015023101541"/>
    <n v="8979.3135690739891"/>
    <n v="73938.351163986648"/>
    <n v="1056622.5866446805"/>
    <n v="0.03"/>
    <n v="0.01"/>
    <n v="50000"/>
    <n v="1050633.7643195265"/>
    <n v="73938.351163986648"/>
    <n v="0.44240166374011286"/>
    <n v="0.17391961301384912"/>
    <n v="889493.12664468051"/>
  </r>
  <r>
    <x v="34"/>
    <n v="0.03"/>
    <n v="0.04"/>
    <n v="150"/>
    <n v="7426.5386673958656"/>
    <n v="11.5"/>
    <n v="85405.194675052451"/>
    <n v="0.03"/>
    <m/>
    <m/>
    <m/>
    <n v="0"/>
    <n v="0"/>
    <n v="1060.9340953422666"/>
    <n v="0"/>
    <n v="0"/>
    <n v="0"/>
    <s v=""/>
    <s v=""/>
    <n v="530.46704767113329"/>
    <n v="0"/>
    <n v="397.85028575335002"/>
    <n v="1989.25142876675"/>
    <n v="7259.4415473794588"/>
    <n v="9248.6929761462088"/>
    <n v="76156.501698906242"/>
    <n v="1132779.0883435868"/>
    <n v="0.03"/>
    <n v="0.01"/>
    <n v="50000"/>
    <n v="1082152.7772491123"/>
    <n v="76156.501698906242"/>
    <n v="0.45567371365231618"/>
    <n v="0.17913720140426456"/>
    <n v="965649.62834358681"/>
  </r>
  <r>
    <x v="35"/>
    <n v="0.03"/>
    <n v="0.04"/>
    <n v="150"/>
    <n v="7649.3348274177415"/>
    <n v="11.5"/>
    <n v="87967.350515304031"/>
    <n v="0.03"/>
    <m/>
    <m/>
    <m/>
    <n v="0"/>
    <n v="0"/>
    <n v="1092.7621182025346"/>
    <n v="0"/>
    <n v="0"/>
    <n v="0"/>
    <s v=""/>
    <s v=""/>
    <n v="546.38105910126728"/>
    <n v="0"/>
    <n v="409.78579432595046"/>
    <n v="2048.9289716297521"/>
    <n v="7477.2247938008431"/>
    <n v="9526.1537654305957"/>
    <n v="78441.196749873445"/>
    <n v="1211220.2850934602"/>
    <n v="0.03"/>
    <n v="0.01"/>
    <n v="50000"/>
    <n v="1114617.3605665856"/>
    <n v="78441.196749873445"/>
    <n v="0.46934392506188577"/>
    <n v="0.18451131744639254"/>
    <n v="1044090.8250934603"/>
  </r>
  <r>
    <x v="36"/>
    <n v="0.03"/>
    <n v="0.04"/>
    <n v="150"/>
    <n v="7878.8148722402739"/>
    <n v="11.5"/>
    <n v="90606.371030763155"/>
    <n v="0.03"/>
    <m/>
    <m/>
    <m/>
    <n v="0"/>
    <n v="0"/>
    <n v="1125.5449817486106"/>
    <n v="0"/>
    <n v="0"/>
    <n v="0"/>
    <s v=""/>
    <s v=""/>
    <n v="562.77249087430528"/>
    <n v="0"/>
    <n v="422.07936815572896"/>
    <n v="2110.3968407786447"/>
    <n v="7701.5415376148685"/>
    <n v="9811.9383783935136"/>
    <n v="80794.432652369636"/>
    <n v="1292014.7177458298"/>
    <n v="0.03"/>
    <n v="0.01"/>
    <n v="50000"/>
    <n v="1148055.8813835832"/>
    <n v="80794.432652369636"/>
    <n v="0.48342424281374224"/>
    <n v="0.19004665696978429"/>
    <n v="1124885.2577458299"/>
  </r>
  <r>
    <x v="37"/>
    <n v="0.03"/>
    <n v="0.04"/>
    <n v="150"/>
    <n v="8115.1793184074822"/>
    <n v="11.5"/>
    <n v="93324.562161686044"/>
    <n v="0.03"/>
    <m/>
    <m/>
    <m/>
    <n v="0"/>
    <n v="0"/>
    <n v="1159.3113312010689"/>
    <n v="0"/>
    <n v="0"/>
    <n v="0"/>
    <s v=""/>
    <s v=""/>
    <n v="579.65566560053446"/>
    <n v="0"/>
    <n v="434.74174920040087"/>
    <n v="2173.7087460020043"/>
    <n v="7932.5877837433145"/>
    <n v="10106.296529745319"/>
    <n v="83218.26563194074"/>
    <n v="1375232.9833777705"/>
    <n v="0.03"/>
    <n v="0.01"/>
    <n v="50000"/>
    <n v="1182497.5578250906"/>
    <n v="83218.26563194074"/>
    <n v="0.49792697009815462"/>
    <n v="0.19574805667887785"/>
    <n v="1208103.5233777706"/>
  </r>
  <r>
    <x v="38"/>
    <n v="0.03"/>
    <n v="0.04"/>
    <n v="150"/>
    <n v="8358.6346979597074"/>
    <n v="11.5"/>
    <n v="96124.299026536639"/>
    <n v="0.03"/>
    <m/>
    <m/>
    <m/>
    <n v="0"/>
    <n v="0"/>
    <n v="1194.090671137101"/>
    <n v="0"/>
    <n v="0"/>
    <n v="0"/>
    <s v=""/>
    <s v=""/>
    <n v="597.04533556855051"/>
    <n v="0"/>
    <n v="447.78400167641286"/>
    <n v="2238.9200083820647"/>
    <n v="8170.5654172556151"/>
    <n v="10409.48542563768"/>
    <n v="85714.813600898968"/>
    <n v="1460947.7969786695"/>
    <n v="0.03"/>
    <n v="0.01"/>
    <n v="50000"/>
    <n v="1217972.4845598433"/>
    <n v="85714.813600898968"/>
    <n v="0.5128647792010993"/>
    <n v="0.2016204983792442"/>
    <n v="1293818.3369786695"/>
  </r>
  <r>
    <x v="39"/>
    <n v="0.03"/>
    <n v="0.04"/>
    <n v="150"/>
    <n v="8609.3937388984996"/>
    <n v="11.5"/>
    <n v="99008.027997332742"/>
    <n v="0.03"/>
    <m/>
    <m/>
    <m/>
    <n v="0"/>
    <n v="0"/>
    <n v="1229.9133912712141"/>
    <n v="0"/>
    <n v="0"/>
    <n v="0"/>
    <s v=""/>
    <s v=""/>
    <n v="614.95669563560705"/>
    <n v="0"/>
    <n v="461.21752172670523"/>
    <n v="2306.0876086335265"/>
    <n v="8415.6823797732832"/>
    <n v="10721.76998840681"/>
    <n v="88286.258008925928"/>
    <n v="1549234.0549875954"/>
    <n v="0.03"/>
    <n v="0.01"/>
    <n v="50000"/>
    <n v="1254511.6590966387"/>
    <n v="88286.258008925928"/>
    <n v="0.52825072257713224"/>
    <n v="0.20766911333062152"/>
    <n v="1382104.5949875955"/>
  </r>
  <r>
    <x v="40"/>
    <n v="0.03"/>
    <n v="0.04"/>
    <n v="150"/>
    <n v="8867.6755510654548"/>
    <n v="11"/>
    <n v="97544.43106172001"/>
    <n v="0.03"/>
    <m/>
    <m/>
    <m/>
    <n v="16310.188959995388"/>
    <n v="32620.377919990777"/>
    <n v="2533.6215860187012"/>
    <n v="0"/>
    <n v="0"/>
    <n v="0"/>
    <s v=""/>
    <s v=""/>
    <n v="633.40539650467531"/>
    <n v="0"/>
    <n v="475.05404737850643"/>
    <n v="52572.647909888052"/>
    <n v="8291.2766402462021"/>
    <n v="60863.924550134252"/>
    <n v="36680.506511585758"/>
    <n v="1585914.5614991812"/>
    <n v="0.03"/>
    <n v="0.01"/>
    <n v="50000"/>
    <n v="1292147.0088695379"/>
    <n v="36680.506511585758"/>
    <n v="0.21947361351844105"/>
    <n v="8.6280792000596143E-2"/>
    <n v="1418785.1014991812"/>
  </r>
  <r>
    <x v="41"/>
    <n v="0.03"/>
    <n v="0.04"/>
    <n v="150"/>
    <n v="9133.705817597418"/>
    <n v="11.5"/>
    <n v="105037.61690237031"/>
    <n v="0.03"/>
    <m/>
    <m/>
    <m/>
    <n v="0"/>
    <n v="0"/>
    <n v="1304.8151167996311"/>
    <n v="0"/>
    <n v="0"/>
    <n v="0"/>
    <s v=""/>
    <s v=""/>
    <n v="652.40755839981557"/>
    <n v="0"/>
    <n v="489.30566879986168"/>
    <n v="2446.5283439993082"/>
    <n v="9129.7021127962889"/>
    <n v="11576.230456795598"/>
    <n v="93461.38644557471"/>
    <n v="1679375.9479447559"/>
    <n v="0.03"/>
    <n v="0.01"/>
    <n v="50000"/>
    <n v="1330911.4191356241"/>
    <n v="93461.38644557471"/>
    <n v="0.55921551140998538"/>
    <n v="0.21984217806400597"/>
    <n v="1512246.4879447559"/>
  </r>
  <r>
    <x v="42"/>
    <n v="0.03"/>
    <n v="0.04"/>
    <n v="150"/>
    <n v="9407.7169921253408"/>
    <n v="11.5"/>
    <n v="108188.74540944141"/>
    <n v="0.03"/>
    <m/>
    <m/>
    <m/>
    <n v="0"/>
    <n v="0"/>
    <n v="1343.95957030362"/>
    <n v="0"/>
    <n v="0"/>
    <n v="0"/>
    <s v=""/>
    <s v=""/>
    <n v="671.97978515181001"/>
    <n v="0"/>
    <n v="503.98483886385753"/>
    <n v="2519.9241943192874"/>
    <n v="9523.5931761801767"/>
    <n v="12043.517370499463"/>
    <n v="96145.228038941947"/>
    <n v="1775521.1759836979"/>
    <n v="0.03"/>
    <n v="0.01"/>
    <n v="50000"/>
    <n v="1370838.7617096929"/>
    <n v="96145.228038941947"/>
    <n v="0.57527397048337214"/>
    <n v="0.22615517644658628"/>
    <n v="1608391.7159836979"/>
  </r>
  <r>
    <x v="43"/>
    <n v="0.03"/>
    <n v="0.04"/>
    <n v="150"/>
    <n v="9689.948501889101"/>
    <n v="11.5"/>
    <n v="111434.40777172465"/>
    <n v="0.03"/>
    <m/>
    <m/>
    <m/>
    <n v="0"/>
    <n v="0"/>
    <n v="1384.2783574127286"/>
    <n v="0"/>
    <n v="0"/>
    <n v="0"/>
    <s v=""/>
    <s v=""/>
    <n v="692.13917870636431"/>
    <n v="0"/>
    <n v="519.10438402977331"/>
    <n v="2595.5219201488662"/>
    <n v="9929.3009714655818"/>
    <n v="12524.822891614447"/>
    <n v="98909.584880110211"/>
    <n v="1874430.760863808"/>
    <n v="0.03"/>
    <n v="0.01"/>
    <n v="50000"/>
    <n v="1411963.9245609837"/>
    <n v="98909.584880110211"/>
    <n v="0.59181418332896063"/>
    <n v="0.23265756478064401"/>
    <n v="1707301.300863808"/>
  </r>
  <r>
    <x v="44"/>
    <n v="0.03"/>
    <n v="0.04"/>
    <n v="150"/>
    <n v="9980.6469569457749"/>
    <n v="11.5"/>
    <n v="114777.44000487641"/>
    <n v="0.03"/>
    <m/>
    <m/>
    <m/>
    <n v="0"/>
    <n v="0"/>
    <n v="1425.8067081351105"/>
    <n v="0"/>
    <n v="0"/>
    <n v="0"/>
    <s v=""/>
    <s v=""/>
    <n v="712.90335406755526"/>
    <n v="0"/>
    <n v="534.6775155506665"/>
    <n v="2673.3875777533322"/>
    <n v="10347.180000609551"/>
    <n v="13020.567578362883"/>
    <n v="101756.87242651352"/>
    <n v="1976187.6332903216"/>
    <n v="0.03"/>
    <n v="0.01"/>
    <n v="50000"/>
    <n v="1454322.8422978132"/>
    <n v="101756.87242651352"/>
    <n v="0.60885060255991674"/>
    <n v="0.23935502476472348"/>
    <n v="1809058.1732903216"/>
  </r>
  <r>
    <x v="45"/>
    <n v="0.03"/>
    <n v="0.04"/>
    <n v="150"/>
    <n v="10280.066365654149"/>
    <n v="11.5"/>
    <n v="118220.76320502271"/>
    <n v="0.03"/>
    <m/>
    <m/>
    <m/>
    <n v="0"/>
    <n v="0"/>
    <n v="1468.580909379164"/>
    <n v="0"/>
    <n v="0"/>
    <n v="0"/>
    <s v=""/>
    <s v=""/>
    <n v="734.29045468958202"/>
    <n v="0"/>
    <n v="550.71784101718652"/>
    <n v="2753.5892050859325"/>
    <n v="10777.595400627839"/>
    <n v="13531.184605713772"/>
    <n v="104689.57859930895"/>
    <n v="2080877.2118896304"/>
    <n v="0.03"/>
    <n v="0.01"/>
    <n v="50000"/>
    <n v="1497952.5275667475"/>
    <n v="104689.57859930895"/>
    <n v="0.62639811436780168"/>
    <n v="0.24625340854832536"/>
    <n v="1913747.7518896305"/>
  </r>
  <r>
    <x v="46"/>
    <n v="0.03"/>
    <n v="0.04"/>
    <n v="150"/>
    <n v="10588.468356623775"/>
    <n v="11.5"/>
    <n v="121767.38610117341"/>
    <n v="0.03"/>
    <m/>
    <m/>
    <m/>
    <n v="0"/>
    <n v="0"/>
    <n v="1512.6383366605389"/>
    <n v="0"/>
    <n v="0"/>
    <n v="0"/>
    <s v=""/>
    <s v=""/>
    <n v="756.31916833026946"/>
    <n v="0"/>
    <n v="567.23937624770213"/>
    <n v="2836.1968812385107"/>
    <n v="11220.923262646676"/>
    <n v="14057.120143885188"/>
    <n v="107710.26595728821"/>
    <n v="2188587.4778469186"/>
    <n v="0.03"/>
    <n v="0.01"/>
    <n v="50000"/>
    <n v="1542891.10339375"/>
    <n v="107710.26595728821"/>
    <n v="0.64447205152992293"/>
    <n v="0.25335874384543522"/>
    <n v="2021458.0178469187"/>
  </r>
  <r>
    <x v="47"/>
    <n v="0.03"/>
    <n v="0.04"/>
    <n v="150"/>
    <n v="10906.122407322488"/>
    <n v="11.5"/>
    <n v="125420.40768420861"/>
    <n v="0.03"/>
    <m/>
    <m/>
    <m/>
    <n v="0"/>
    <n v="0"/>
    <n v="1558.0174867603553"/>
    <n v="0"/>
    <n v="0"/>
    <n v="0"/>
    <s v=""/>
    <s v=""/>
    <n v="779.00874338017763"/>
    <n v="0"/>
    <n v="584.2565575351332"/>
    <n v="2921.282787675666"/>
    <n v="11677.550960526076"/>
    <n v="14598.833748201741"/>
    <n v="110821.57393600687"/>
    <n v="2299409.0517829256"/>
    <n v="0.03"/>
    <n v="0.01"/>
    <n v="50000"/>
    <n v="1589177.8364955627"/>
    <n v="110821.57393600687"/>
    <n v="0.66308820680690794"/>
    <n v="0.26067723920145847"/>
    <n v="2132279.5917829257"/>
  </r>
  <r>
    <x v="48"/>
    <n v="0.03"/>
    <n v="0.04"/>
    <n v="150"/>
    <n v="11233.306079542162"/>
    <n v="11.5"/>
    <n v="129183.01991473488"/>
    <n v="0.03"/>
    <m/>
    <m/>
    <m/>
    <n v="0"/>
    <n v="0"/>
    <n v="1604.7580113631661"/>
    <n v="0"/>
    <n v="0"/>
    <n v="0"/>
    <s v=""/>
    <s v=""/>
    <n v="802.37900568158307"/>
    <n v="0"/>
    <n v="601.78425426118724"/>
    <n v="3008.921271305936"/>
    <n v="12147.877489341859"/>
    <n v="15156.798760647795"/>
    <n v="114026.22115408708"/>
    <n v="2413435.2729370128"/>
    <n v="0.03"/>
    <n v="0.01"/>
    <n v="50000"/>
    <n v="1636853.1715904295"/>
    <n v="114026.22115408708"/>
    <n v="0.6822628467422025"/>
    <n v="0.26821528941816236"/>
    <n v="2246305.8129370129"/>
  </r>
  <r>
    <x v="49"/>
    <n v="0.03"/>
    <n v="0.04"/>
    <n v="150"/>
    <n v="11570.305261928428"/>
    <n v="11.5"/>
    <n v="133058.51051217693"/>
    <n v="0.03"/>
    <m/>
    <m/>
    <m/>
    <n v="0"/>
    <n v="0"/>
    <n v="1652.9007517040611"/>
    <n v="0"/>
    <n v="0"/>
    <n v="0"/>
    <s v=""/>
    <s v=""/>
    <n v="826.45037585203056"/>
    <n v="0"/>
    <n v="619.83778188902295"/>
    <n v="3099.1889094451149"/>
    <n v="12632.313814022116"/>
    <n v="15731.502723467231"/>
    <n v="117327.0077887097"/>
    <n v="2530762.2807257227"/>
    <n v="0.03"/>
    <n v="0.01"/>
    <n v="50000"/>
    <n v="1685958.7667381424"/>
    <n v="117327.0077887097"/>
    <n v="0.70201272587555585"/>
    <n v="0.27597948114136739"/>
    <n v="2363632.8207257227"/>
  </r>
  <r>
    <x v="50"/>
    <n v="0.03"/>
    <n v="0.04"/>
    <n v="150"/>
    <n v="11917.414419786281"/>
    <n v="11"/>
    <n v="131091.55861764908"/>
    <n v="0.03"/>
    <m/>
    <m/>
    <m/>
    <n v="21919.530093535479"/>
    <n v="0"/>
    <n v="3404.975548510366"/>
    <n v="0"/>
    <n v="0"/>
    <n v="0"/>
    <s v=""/>
    <s v=""/>
    <n v="851.24388712759151"/>
    <n v="0"/>
    <n v="638.43291534569357"/>
    <n v="26814.182444519131"/>
    <n v="12386.444827206135"/>
    <n v="39200.627271725265"/>
    <n v="91890.931345923804"/>
    <n v="2622653.2120716465"/>
    <n v="0.03"/>
    <n v="0.01"/>
    <n v="50000"/>
    <n v="1736537.5297402868"/>
    <n v="1828428.4610862106"/>
    <n v="0.54981887302169108"/>
    <n v="0.2161481148493539"/>
    <n v="2455523.7520716465"/>
  </r>
  <r>
    <x v="51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52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53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54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55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56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57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58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59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60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61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62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63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64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65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66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67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68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69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70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71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72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73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74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75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76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77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78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79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80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81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82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83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84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85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86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87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88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89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90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91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92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93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94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95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96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97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98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99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  <r>
    <x v="100"/>
    <n v="0.03"/>
    <n v="0.04"/>
    <n v="150"/>
    <n v="0"/>
    <n v="0"/>
    <n v="0"/>
    <s v=""/>
    <m/>
    <m/>
    <m/>
    <n v="0"/>
    <n v="0"/>
    <n v="0"/>
    <n v="0"/>
    <n v="0"/>
    <n v="0"/>
    <n v="0"/>
    <n v="0"/>
    <n v="0"/>
    <n v="0"/>
    <n v="0"/>
    <n v="0"/>
    <n v="0"/>
    <n v="0"/>
    <n v="0"/>
    <n v="0"/>
    <s v=""/>
    <s v=""/>
    <s v=""/>
    <n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437B3B0-EC5B-46B2-91E3-1239E514051A}" name="Tabela przestawna3" cacheId="335" applyNumberFormats="0" applyBorderFormats="0" applyFontFormats="0" applyPatternFormats="0" applyAlignmentFormats="0" applyWidthHeightFormats="1" dataCaption="Wartości" updatedVersion="8" minRefreshableVersion="3" useAutoFormatting="1" itemPrintTitles="1" createdVersion="8" indent="0" outline="1" outlineData="1" multipleFieldFilters="0" chartFormat="1">
  <location ref="A1:C52" firstHeaderRow="0" firstDataRow="1" firstDataCol="1"/>
  <pivotFields count="35">
    <pivotField axis="axisRow" showAll="0" measureFilter="1">
      <items count="102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numFmtId="167" showAll="0"/>
    <pivotField showAll="0"/>
    <pivotField showAll="0"/>
    <pivotField showAll="0"/>
  </pivotFields>
  <rowFields count="1">
    <field x="0"/>
  </rowFields>
  <rowItems count="5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z Wszystkie Koszty" fld="24" baseField="0" baseItem="0"/>
    <dataField name="Suma z Rata kredytu" fld="16" baseField="0" baseItem="0"/>
  </dataFields>
  <formats count="1">
    <format dxfId="87">
      <pivotArea collapsedLevelsAreSubtotals="1" fieldPosition="0">
        <references count="1">
          <reference field="0" count="16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</reference>
        </references>
      </pivotArea>
    </format>
  </formats>
  <chartFormats count="2">
    <chartFormat chart="0" format="0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Medium9" showRowHeaders="1" showColHeaders="1" showRowStripes="0" showColStripes="0" showLastColumn="1"/>
  <filters count="1">
    <filter fld="0" type="valueGreaterThan" evalOrder="-1" id="5" iMeasureFld="0">
      <autoFilter ref="A1">
        <filterColumn colId="0">
          <customFilters>
            <customFilter operator="greaterThan" val="0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187CA73-9049-42F3-83C0-F6328389DE28}" name="Tabela przestawna1" cacheId="335" applyNumberFormats="0" applyBorderFormats="0" applyFontFormats="0" applyPatternFormats="0" applyAlignmentFormats="0" applyWidthHeightFormats="1" dataCaption="Wartości" updatedVersion="8" minRefreshableVersion="3" useAutoFormatting="1" itemPrintTitles="1" createdVersion="8" indent="0" outline="1" outlineData="1" multipleFieldFilters="0" chartFormat="1" rowHeaderCaption="Lata Inwestycji">
  <location ref="A1:B52" firstHeaderRow="1" firstDataRow="1" firstDataCol="1"/>
  <pivotFields count="35">
    <pivotField axis="axisRow" showAll="0" measureFilter="1">
      <items count="102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numFmtId="167" showAll="0"/>
    <pivotField showAll="0"/>
    <pivotField showAll="0"/>
    <pivotField showAll="0"/>
  </pivotFields>
  <rowFields count="1">
    <field x="0"/>
  </rowFields>
  <rowItems count="5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 t="grand">
      <x/>
    </i>
  </rowItems>
  <colItems count="1">
    <i/>
  </colItems>
  <dataFields count="1">
    <dataField name="Wynik z najmu netto w każdym roku" fld="25" baseField="0" baseItem="0" numFmtId="43"/>
  </dataFields>
  <formats count="1">
    <format dxfId="86">
      <pivotArea outline="0" collapsedLevelsAreSubtotals="1" fieldPosition="0"/>
    </format>
  </formats>
  <chartFormats count="52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  <chartFormat chart="0" format="1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0"/>
          </reference>
        </references>
      </pivotArea>
    </chartFormat>
    <chartFormat chart="0" format="1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1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2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3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4"/>
          </reference>
        </references>
      </pivotArea>
    </chartFormat>
    <chartFormat chart="0" format="1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5"/>
          </reference>
        </references>
      </pivotArea>
    </chartFormat>
    <chartFormat chart="0" format="1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6"/>
          </reference>
        </references>
      </pivotArea>
    </chartFormat>
    <chartFormat chart="0" format="1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7"/>
          </reference>
        </references>
      </pivotArea>
    </chartFormat>
    <chartFormat chart="0" format="1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8"/>
          </reference>
        </references>
      </pivotArea>
    </chartFormat>
    <chartFormat chart="0" format="1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9"/>
          </reference>
        </references>
      </pivotArea>
    </chartFormat>
    <chartFormat chart="0" format="2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0"/>
          </reference>
        </references>
      </pivotArea>
    </chartFormat>
    <chartFormat chart="0" format="2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1"/>
          </reference>
        </references>
      </pivotArea>
    </chartFormat>
    <chartFormat chart="0" format="2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2"/>
          </reference>
        </references>
      </pivotArea>
    </chartFormat>
    <chartFormat chart="0" format="2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3"/>
          </reference>
        </references>
      </pivotArea>
    </chartFormat>
    <chartFormat chart="0" format="2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4"/>
          </reference>
        </references>
      </pivotArea>
    </chartFormat>
    <chartFormat chart="0" format="2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5"/>
          </reference>
        </references>
      </pivotArea>
    </chartFormat>
    <chartFormat chart="0" format="2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6"/>
          </reference>
        </references>
      </pivotArea>
    </chartFormat>
    <chartFormat chart="0" format="2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7"/>
          </reference>
        </references>
      </pivotArea>
    </chartFormat>
    <chartFormat chart="0" format="2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8"/>
          </reference>
        </references>
      </pivotArea>
    </chartFormat>
    <chartFormat chart="0" format="2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9"/>
          </reference>
        </references>
      </pivotArea>
    </chartFormat>
    <chartFormat chart="0" format="3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0"/>
          </reference>
        </references>
      </pivotArea>
    </chartFormat>
    <chartFormat chart="0" format="3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1"/>
          </reference>
        </references>
      </pivotArea>
    </chartFormat>
    <chartFormat chart="0" format="3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2"/>
          </reference>
        </references>
      </pivotArea>
    </chartFormat>
    <chartFormat chart="0" format="3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3"/>
          </reference>
        </references>
      </pivotArea>
    </chartFormat>
    <chartFormat chart="0" format="3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4"/>
          </reference>
        </references>
      </pivotArea>
    </chartFormat>
    <chartFormat chart="0" format="3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5"/>
          </reference>
        </references>
      </pivotArea>
    </chartFormat>
    <chartFormat chart="0" format="3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6"/>
          </reference>
        </references>
      </pivotArea>
    </chartFormat>
    <chartFormat chart="0" format="3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7"/>
          </reference>
        </references>
      </pivotArea>
    </chartFormat>
    <chartFormat chart="0" format="3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8"/>
          </reference>
        </references>
      </pivotArea>
    </chartFormat>
    <chartFormat chart="0" format="3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9"/>
          </reference>
        </references>
      </pivotArea>
    </chartFormat>
    <chartFormat chart="0" format="4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0"/>
          </reference>
        </references>
      </pivotArea>
    </chartFormat>
    <chartFormat chart="0" format="4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1"/>
          </reference>
        </references>
      </pivotArea>
    </chartFormat>
    <chartFormat chart="0" format="4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2"/>
          </reference>
        </references>
      </pivotArea>
    </chartFormat>
    <chartFormat chart="0" format="4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3"/>
          </reference>
        </references>
      </pivotArea>
    </chartFormat>
    <chartFormat chart="0" format="4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4"/>
          </reference>
        </references>
      </pivotArea>
    </chartFormat>
    <chartFormat chart="0" format="4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5"/>
          </reference>
        </references>
      </pivotArea>
    </chartFormat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6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7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8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9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0"/>
          </reference>
        </references>
      </pivotArea>
    </chartFormat>
    <chartFormat chart="0" format="5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Medium9" showRowHeaders="1" showColHeaders="1" showRowStripes="0" showColStripes="0" showLastColumn="1"/>
  <filters count="1">
    <filter fld="0" type="valueGreaterThan" evalOrder="-1" id="2" iMeasureFld="0">
      <autoFilter ref="A1">
        <filterColumn colId="0">
          <customFilters>
            <customFilter operator="greaterThan" val="0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068F11C-AC50-4417-A2BA-76B8D6E57913}" name="Tabela przestawna4" cacheId="335" applyNumberFormats="0" applyBorderFormats="0" applyFontFormats="0" applyPatternFormats="0" applyAlignmentFormats="0" applyWidthHeightFormats="1" dataCaption="Wartości" updatedVersion="8" minRefreshableVersion="3" useAutoFormatting="1" itemPrintTitles="1" createdVersion="8" indent="0" outline="1" outlineData="1" multipleFieldFilters="0" chartFormat="3">
  <location ref="A1:C52" firstHeaderRow="0" firstDataRow="1" firstDataCol="1"/>
  <pivotFields count="35">
    <pivotField axis="axisRow" showAll="0" measureFilter="1">
      <items count="102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t="default"/>
      </items>
    </pivotField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numFmtId="167" showAll="0"/>
    <pivotField showAll="0"/>
    <pivotField showAll="0"/>
    <pivotField showAll="0"/>
  </pivotFields>
  <rowFields count="1">
    <field x="0"/>
  </rowFields>
  <rowItems count="5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z Przychody z wynajmu" fld="6" baseField="0" baseItem="0"/>
    <dataField name="Suma z Wszystkie Koszty" fld="24" baseField="0" baseItem="0"/>
  </dataFields>
  <formats count="2">
    <format dxfId="84">
      <pivotArea collapsedLevelsAreSubtotals="1" fieldPosition="0">
        <references count="1">
          <reference field="0" count="2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</reference>
        </references>
      </pivotArea>
    </format>
    <format dxfId="85">
      <pivotArea dataOnly="0" labelOnly="1" outline="0" fieldPosition="0">
        <references count="1">
          <reference field="4294967294" count="1">
            <x v="0"/>
          </reference>
        </references>
      </pivotArea>
    </format>
  </format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Medium9" showRowHeaders="1" showColHeaders="1" showRowStripes="0" showColStripes="0" showLastColumn="1"/>
  <filters count="1">
    <filter fld="0" type="valueGreaterThan" evalOrder="-1" id="1" iMeasureFld="0">
      <autoFilter ref="A1">
        <filterColumn colId="0">
          <customFilters>
            <customFilter operator="greaterThan" val="0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739D21-2169-4F4E-ABAF-2CC43D753017}" name="Kredyt1" displayName="Kredyt1" ref="D4:M611" totalsRowShown="0">
  <autoFilter ref="D4:M611" xr:uid="{7C739D21-2169-4F4E-ABAF-2CC43D753017}"/>
  <tableColumns count="10">
    <tableColumn id="1" xr3:uid="{A5EF84CD-0536-4AC8-A86E-EACC549C7ED5}" name="Miesiąc kredytu">
      <calculatedColumnFormula array="1">IF(ROW(#REF!)&lt;=IlośćRat,ROW(#REF!),"")</calculatedColumnFormula>
    </tableColumn>
    <tableColumn id="2" xr3:uid="{CB3EC46B-BBBC-46EF-8360-721F512AD304}" name="Rok">
      <calculatedColumnFormula>ROUNDUP(#REF!/12,0)</calculatedColumnFormula>
    </tableColumn>
    <tableColumn id="4" xr3:uid="{B1A2CEA1-EB31-4E2A-9604-94FEA9CDD198}" name="Data" dataDxfId="83">
      <calculatedColumnFormula>IFERROR(EDATE($B$6,D5-1),"")</calculatedColumnFormula>
    </tableColumn>
    <tableColumn id="5" xr3:uid="{60078A7E-8A3D-4C15-885F-DD29976BFAFA}" name="WIBOR3M" dataDxfId="82">
      <calculatedColumnFormula array="1">WIBOR3M</calculatedColumnFormula>
    </tableColumn>
    <tableColumn id="6" xr3:uid="{F1D3D144-2A04-4FFE-9534-11A16B4AF5DB}" name="Oprocentowanie" dataDxfId="81">
      <calculatedColumnFormula array="1">G5+MarżaBAnku</calculatedColumnFormula>
    </tableColumn>
    <tableColumn id="7" xr3:uid="{E72E06A5-3780-4C5B-9BE0-8F86FA05031D}" name="Odsetki" dataDxfId="80">
      <calculatedColumnFormula>Kredyt1[[#This Row],[Oprocentowanie]]/12*M4</calculatedColumnFormula>
    </tableColumn>
    <tableColumn id="8" xr3:uid="{22727EE6-4BF5-4B4C-97E4-566462BE15FE}" name="Kapitał" dataDxfId="79">
      <calculatedColumnFormula array="1">-IFERROR(PPMT(OprocentowanieKredytu/12,D5,IlośćRat,KwotaKredytu),"")</calculatedColumnFormula>
    </tableColumn>
    <tableColumn id="9" xr3:uid="{C17A7288-16D1-48D1-B157-64958BF34F36}" name="Cała rata" dataDxfId="78">
      <calculatedColumnFormula>I5+J5</calculatedColumnFormula>
    </tableColumn>
    <tableColumn id="3" xr3:uid="{9AE09245-ECBC-4E55-BC27-98D441D28B69}" name="Nadpłata" dataDxfId="77"/>
    <tableColumn id="10" xr3:uid="{1EB501E4-88A6-4E29-BF1F-36793047B632}" name="Kapitał pozostający do spłaty" dataDxfId="76">
      <calculatedColumnFormula>M4-J5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876C70B-7319-45A6-954F-79583F50F8DB}" name="Tabela4" displayName="Tabela4" ref="B49:BA85" totalsRowShown="0">
  <autoFilter ref="B49:BA85" xr:uid="{C876C70B-7319-45A6-954F-79583F50F8DB}"/>
  <tableColumns count="52">
    <tableColumn id="1" xr3:uid="{5246FB18-EDE7-46A3-9DE0-E4282E57D312}" name="Rok"/>
    <tableColumn id="52" xr3:uid="{8C99F060-4CEF-4DCC-A7FC-200CF0A7203A}" name="Początek inwestycji" dataDxfId="56">
      <calculatedColumnFormula array="1">CenaM</calculatedColumnFormula>
    </tableColumn>
    <tableColumn id="2" xr3:uid="{91900B71-69D0-40C1-B7C9-DE9AA769E1F6}" name="1"/>
    <tableColumn id="3" xr3:uid="{0BCC1B78-A114-45FF-A805-CCCFACDE94BD}" name="2"/>
    <tableColumn id="4" xr3:uid="{970D1B4E-526B-4950-BCE0-51F4FD77A28E}" name="3"/>
    <tableColumn id="5" xr3:uid="{9C5FDFD0-B2C3-4DA5-9BE2-FCE201BB0084}" name="4"/>
    <tableColumn id="6" xr3:uid="{7153FE57-019B-47B7-88A2-FABA6C0F57FE}" name="5"/>
    <tableColumn id="7" xr3:uid="{7B053F65-6F0B-4C28-BC0C-A1C31006B9C4}" name="6"/>
    <tableColumn id="8" xr3:uid="{BFFB33EC-A72D-4B1B-B926-5407F7539BE3}" name="7"/>
    <tableColumn id="9" xr3:uid="{A291702F-9BA2-45F8-BA96-4D62FE1747D7}" name="8"/>
    <tableColumn id="10" xr3:uid="{087CE5AA-4B7C-41C0-BB2F-5F5CB6BD8F8D}" name="9"/>
    <tableColumn id="11" xr3:uid="{BA7C8CBD-C42B-4594-AF05-5B81D7E334F2}" name="10"/>
    <tableColumn id="12" xr3:uid="{A7255B86-38E5-4914-9AF9-4D4E72A9734A}" name="11"/>
    <tableColumn id="13" xr3:uid="{B7ADACB2-EF7B-42B5-AC18-07FCF33ED9C2}" name="12"/>
    <tableColumn id="14" xr3:uid="{CCA9A905-1460-45F3-BC04-652AF568B32A}" name="13"/>
    <tableColumn id="15" xr3:uid="{5F6C0364-4E31-4D9D-911B-A860778BCF65}" name="14"/>
    <tableColumn id="16" xr3:uid="{FFAF4BE4-986E-4E41-AB95-AC2D026F7B63}" name="15"/>
    <tableColumn id="17" xr3:uid="{F6161DEA-1970-4BF2-8272-715FB86D44BC}" name="16"/>
    <tableColumn id="18" xr3:uid="{00F9E995-17B0-4970-BA0C-70C287984AD3}" name="17"/>
    <tableColumn id="19" xr3:uid="{4C105A92-6B95-4A6C-8E18-C70CFF523D1F}" name="18"/>
    <tableColumn id="20" xr3:uid="{8029DE1A-154B-4C97-A129-A38B77EDDCE4}" name="19"/>
    <tableColumn id="21" xr3:uid="{EC65FE34-CEE9-41E2-9D3E-C7D0C6FB9C54}" name="20"/>
    <tableColumn id="22" xr3:uid="{6360EFA9-5400-43A6-A45D-49891A4D70BB}" name="21"/>
    <tableColumn id="23" xr3:uid="{32281829-9CD2-4A9F-88B0-68EE8AE46A3A}" name="22"/>
    <tableColumn id="24" xr3:uid="{30FA28F3-B205-4133-8F14-6C1A3E163835}" name="23"/>
    <tableColumn id="25" xr3:uid="{51748261-2458-4532-A799-475007B97CAA}" name="24"/>
    <tableColumn id="26" xr3:uid="{FC777431-DDB1-4C8B-8087-F4A46D8A91A5}" name="25"/>
    <tableColumn id="27" xr3:uid="{805F9C25-FFA7-4C59-B364-02BBBC61B9CA}" name="26"/>
    <tableColumn id="28" xr3:uid="{FE4AD7F3-34DF-4E70-87F1-0E09245631A1}" name="27"/>
    <tableColumn id="29" xr3:uid="{441B036E-EC63-41F8-B6DC-7A70013ACC1C}" name="28"/>
    <tableColumn id="30" xr3:uid="{0E808568-85FD-44FF-ACEB-F2326EB29994}" name="29"/>
    <tableColumn id="31" xr3:uid="{FD96112B-9D47-4E58-8906-835A38183F26}" name="30"/>
    <tableColumn id="32" xr3:uid="{5E0E1992-9FFB-42ED-9CA5-865A1BD1BBB4}" name="31"/>
    <tableColumn id="33" xr3:uid="{F3FD2F2F-E1F3-49C4-9C51-B202057A7F9A}" name="32"/>
    <tableColumn id="34" xr3:uid="{09EA798F-BD6D-4481-A3D7-41A2AE3E6D4F}" name="33"/>
    <tableColumn id="35" xr3:uid="{7CA89522-1124-4F1C-A82C-2015F75D5D77}" name="34"/>
    <tableColumn id="36" xr3:uid="{01725607-ADD9-4751-AB89-1E78CAD78B4B}" name="35"/>
    <tableColumn id="37" xr3:uid="{7F16EF28-FE9E-496C-96AF-44BC3833A859}" name="36"/>
    <tableColumn id="38" xr3:uid="{A02C4B5B-418D-49C7-A04D-68793820226E}" name="37"/>
    <tableColumn id="39" xr3:uid="{760134F3-485A-4A8D-9413-72E36C368A9C}" name="38"/>
    <tableColumn id="40" xr3:uid="{2735BB13-0B14-46B3-9BAF-3FD0E2AEFB10}" name="39"/>
    <tableColumn id="41" xr3:uid="{254CE243-5958-4351-8731-D5FFCA300A21}" name="40"/>
    <tableColumn id="42" xr3:uid="{4CC50AD9-8A30-47A8-8301-528BE59B45D4}" name="41"/>
    <tableColumn id="43" xr3:uid="{618C1AC6-6398-4C51-ACF4-84A025ECD238}" name="42"/>
    <tableColumn id="44" xr3:uid="{86141AFF-C23C-4777-8441-410C8A022A73}" name="43"/>
    <tableColumn id="45" xr3:uid="{331925BE-7BDC-4E6B-91B5-D8493414FEA9}" name="44"/>
    <tableColumn id="46" xr3:uid="{AEA6DDF0-AD7D-43AE-B47D-36005C8D5AF9}" name="45"/>
    <tableColumn id="47" xr3:uid="{FB785564-CFFE-43B2-B4E7-85A65E5ABA04}" name="46"/>
    <tableColumn id="48" xr3:uid="{E57C39F2-4067-4CDD-B183-F5777130B4C1}" name="47"/>
    <tableColumn id="49" xr3:uid="{0289D2AA-CF4D-402D-AF8A-4D86ACE899AF}" name="48"/>
    <tableColumn id="50" xr3:uid="{67AF3943-FD3E-4760-926C-61AFDEBC91EE}" name="49"/>
    <tableColumn id="51" xr3:uid="{42BF6686-1DDB-40C5-B7BE-A76A8E1AF45F}" name="50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8912948-6EE0-481B-8BB3-66E5E21B004A}" name="Tabela3" displayName="Tabela3" ref="C52:AK153" totalsRowShown="0" headerRowDxfId="37" dataDxfId="36" tableBorderDxfId="35">
  <autoFilter ref="C52:AK153" xr:uid="{E8912948-6EE0-481B-8BB3-66E5E21B004A}"/>
  <tableColumns count="35">
    <tableColumn id="1" xr3:uid="{6EF99EC5-FC61-4A06-A29E-BD03EDA74C1F}" name="Rok" dataDxfId="34"/>
    <tableColumn id="2" xr3:uid="{BC61F4DB-7E3A-40D2-934D-823F50D3EAF7}" name="Inflacja" dataDxfId="33">
      <calculatedColumnFormula array="1">IF(ZmiOds="Inflacyjnie",Inf,0)</calculatedColumnFormula>
    </tableColumn>
    <tableColumn id="3" xr3:uid="{50FE7169-E62E-4224-AD76-031E12D298A1}" name="Stały % zmiany  stawki" dataDxfId="32">
      <calculatedColumnFormula array="1">ProcZmi</calculatedColumnFormula>
    </tableColumn>
    <tableColumn id="4" xr3:uid="{7A2B0DFA-82EC-431E-947F-2519DC59A206}" name="Stała kwota zmiany stawki" dataDxfId="31">
      <calculatedColumnFormula array="1">KwoZmi</calculatedColumnFormula>
    </tableColumn>
    <tableColumn id="5" xr3:uid="{548A7FD5-AF3A-4F68-8970-11361C5987DE}" name="Miesięczna stawka wynajmu" dataDxfId="30"/>
    <tableColumn id="6" xr3:uid="{74783E16-2AB5-400E-9C4A-90745B28F44D}" name="Liczba wynajętych miesięcy w roku" dataDxfId="29">
      <calculatedColumnFormula array="1">MAX(0, MieWyn - MAX(0, MAX(IFERROR(IF(MOD(D$49, Małrem) = 0, T_MałRem, 0),0),IFERROR(IF(MOD(D$49, DużRem) = 0, T_DużRem, 0),0)) - (12 - MieWyn)))</calculatedColumnFormula>
    </tableColumn>
    <tableColumn id="7" xr3:uid="{D4AF1C9E-2787-4675-A6CD-98D8AD929BA8}" name="Przychody z wynajmu" dataDxfId="28">
      <calculatedColumnFormula>G53*H53+G53*H53*D53</calculatedColumnFormula>
    </tableColumn>
    <tableColumn id="8" xr3:uid="{B7133C42-9691-442C-A1A0-E53966F4D700}" name="Inflacja2" dataDxfId="27">
      <calculatedColumnFormula>Tabela3[[#This Row],[Stały % zmiany  stawki]]</calculatedColumnFormula>
    </tableColumn>
    <tableColumn id="9" xr3:uid="{506D4657-33A2-4765-8093-C62A07F9BD2A}" name="Cena mieszkania + remont początkowy" dataDxfId="26"/>
    <tableColumn id="10" xr3:uid="{9A8A99FB-64A0-4110-B81D-42C77A3FEFB6}" name="Koszt zakupu" dataDxfId="25"/>
    <tableColumn id="11" xr3:uid="{0B7BDD9B-1CC9-428D-9EC2-C11EEE4170EF}" name="Koszt zaciągnięcia kredytu" dataDxfId="24"/>
    <tableColumn id="12" xr3:uid="{2848861E-F5E6-436D-92D8-6AEC9958A070}" name="Mały remont podczas najmu" dataDxfId="23">
      <calculatedColumnFormula array="1">IF(OR(ISBLANK(MałyRemont),MałyRemont=0),0,IF(MOD(Tabela3[[#This Row],[Rok]],MałyRemont)=0,Kwota_MałyRemont*IF(ZmianaKosztów="Tak",PRODUCT(1+INDEX(InflacjaWKażdymRoku,1,1):INDEX(InflacjaWKażdymRoku,1,Tabela3[[#This Row],[Rok]]-1)),1),0))</calculatedColumnFormula>
    </tableColumn>
    <tableColumn id="13" xr3:uid="{CB714D69-0DA0-4478-9A7C-DB61678F4739}" name="Duże remont podczas najmu" dataDxfId="22">
      <calculatedColumnFormula array="1">IF(OR(ISBLANK(DużyRemont),DużyRemont=0),0,IF(MOD(Tabela3[[#This Row],[Rok]],DużyRemont)=0,Kwota_DużyRemont*IF(ZmianaKosztów="Tak",PRODUCT(1+INDEX(InflacjaWKażdymRoku,1,1):INDEX(InflacjaWKażdymRoku,Tabela3[[#This Row],[Rok]],1)),1),0))</calculatedColumnFormula>
    </tableColumn>
    <tableColumn id="14" xr3:uid="{4B717645-44E6-4EDB-91EC-45B590E528F0}" name="Czynsz do administracji opłacany przez właściciela" dataDxfId="21">
      <calculatedColumnFormula array="1">IF(12-Tabela3[[#This Row],[Liczba wynajętych miesięcy w roku]]&gt;0, (12-Tabela3[[#This Row],[Liczba wynajętych miesięcy w roku]]) *CzynszWspólnoty* IF(ZmianaKosztów="Tak", PRODUCT(1+J$54:INDEX($J53:J$54, L($D58:D$59)-1)), 1), 0)</calculatedColumnFormula>
    </tableColumn>
    <tableColumn id="15" xr3:uid="{2F2E4FA3-5287-4AB1-92D3-3198BA582237}" name="Rata kredytu: odsetki" dataDxfId="20">
      <calculatedColumnFormula>IF(Tabela3[[#This Row],[Rok]]&gt;HoryzontInwestycyjny,0,SUMIF(Kredyt!$E:$E,Tabela3[[#This Row],[Rok]],Kredyt!$I:$I))</calculatedColumnFormula>
    </tableColumn>
    <tableColumn id="16" xr3:uid="{DB0BD4BD-3653-4ECC-A639-C6B0FBD6A5BA}" name="Rata kredytu: kapitał" dataDxfId="19">
      <calculatedColumnFormula>SUMIF(Kredyt!$E:$E,Tabela3[[#This Row],[Rok]],Kredyt!$J:$J)</calculatedColumnFormula>
    </tableColumn>
    <tableColumn id="17" xr3:uid="{F9385539-A1FC-4566-AE1A-FB088D1F050D}" name="Rata kredytu" dataDxfId="18">
      <calculatedColumnFormula>Tabela3[[#This Row],[Rata kredytu: odsetki]]+Tabela3[[#This Row],[Rata kredytu: kapitał]]</calculatedColumnFormula>
    </tableColumn>
    <tableColumn id="18" xr3:uid="{FBB88C31-CEF8-45DD-907C-5F3129A28560}" name="Ubezpieczenie na życie" dataDxfId="17">
      <calculatedColumnFormula array="1">IF(Tabela3[[#This Row],[Rok]]&gt;HoryzontInwestycyjny,0,IFERROR(INDEX(Kredyt!$M:$M,11+Tabela3[[#This Row],[Rok]]*12) * UbezŻyć,""))</calculatedColumnFormula>
    </tableColumn>
    <tableColumn id="19" xr3:uid="{DD0CAD97-8754-47CC-8BB0-AFF9719EB545}" name="Ubezpiczenie mieszkania" dataDxfId="16">
      <calculatedColumnFormula array="1">IF(ZmianaKosztów="Tak",U52* PRODUCT(1+J53:J53), UbezMiesz)</calculatedColumnFormula>
    </tableColumn>
    <tableColumn id="20" xr3:uid="{90E4544B-3FDA-471C-80ED-D4DAACCE9C07}" name="Podatek od nieruchomości" dataDxfId="15"/>
    <tableColumn id="21" xr3:uid="{B783F7EF-BD47-4334-90BF-B8876168AECC}" name="Zarząd" dataDxfId="14"/>
    <tableColumn id="22" xr3:uid="{3FDD18C8-5D24-4B8F-B999-BE4E384DFAD0}" name="Inne koszty" dataDxfId="13"/>
    <tableColumn id="23" xr3:uid="{D20A14A2-D9E2-4ADA-9AB2-9C0722BBDE11}" name="Wydatki związane z najmem całkowite" dataDxfId="12"/>
    <tableColumn id="24" xr3:uid="{AEE6E9FE-3BB2-4EC2-802D-1898FDC7276A}" name="Podatek od przychodu" dataDxfId="11"/>
    <tableColumn id="27" xr3:uid="{44A8624A-BF4C-4B3B-86EE-A00C938BB7C1}" name="Wszystkie Koszty" dataDxfId="10">
      <calculatedColumnFormula>Tabela3[[#This Row],[Wydatki związane z najmem całkowite]]+Tabela3[[#This Row],[Podatek od przychodu]]</calculatedColumnFormula>
    </tableColumn>
    <tableColumn id="25" xr3:uid="{E5CF4180-CC66-48EA-8045-EF6AF6F5BEDA}" name="Wynik z najmu netto rocznie" dataDxfId="9"/>
    <tableColumn id="26" xr3:uid="{3BA50C26-3932-4D2E-B091-E5D87B09495E}" name="Skumulowany wynik z najmu netto z najmu" dataDxfId="8"/>
    <tableColumn id="29" xr3:uid="{69DB66FB-4321-4C90-B0F3-FBB8F635D2B9}" name="Inflacja3" dataDxfId="7">
      <calculatedColumnFormula>IF(ZmianaKosztów="TAK",Inflacja,0)</calculatedColumnFormula>
    </tableColumn>
    <tableColumn id="30" xr3:uid="{9941A0CE-49E4-4B33-B572-9DD6B73A47B7}" name="Stały % zmiany warrtości" dataDxfId="6">
      <calculatedColumnFormula>StałyProcentZmianyWartościNieruchomości</calculatedColumnFormula>
    </tableColumn>
    <tableColumn id="31" xr3:uid="{81BFBA37-E00F-46E6-A594-BEF22F2AC208}" name="Stała kwota zmiany wartości" dataDxfId="5">
      <calculatedColumnFormula>StałaKwotaZmianyWartościNieruchomości</calculatedColumnFormula>
    </tableColumn>
    <tableColumn id="32" xr3:uid="{BF236EB3-E582-4119-AB40-5F7E5A48E310}" name="Wartość nieruchomości" dataDxfId="4">
      <calculatedColumnFormula>WartośćM</calculatedColumnFormula>
    </tableColumn>
    <tableColumn id="28" xr3:uid="{21702C99-65E6-4C86-AE0A-3472A82BE06A}" name="Przepływy pieniężne w danym roku " dataDxfId="3"/>
    <tableColumn id="33" xr3:uid="{A75C6EE4-8DAB-4A08-B089-2C70F115D067}" name="ROE z najmu" dataDxfId="2">
      <calculatedColumnFormula array="1">Tabela3[[#This Row],[Wynik z najmu netto rocznie]]/IF(CzyKredyt="Tak",WydanaGotówka2,WydanaGotówka1)</calculatedColumnFormula>
    </tableColumn>
    <tableColumn id="34" xr3:uid="{0B75AFB8-FA60-4519-A584-11FBDF31ADC8}" name="ROI z najmu" dataDxfId="1">
      <calculatedColumnFormula array="1">Tabela3[[#This Row],[Wynik z najmu netto rocznie]]/IF(CzyKredyt="Tak",SumaKosztówPoczątkowychInwestycji,SumaKosztów)</calculatedColumnFormula>
    </tableColumn>
    <tableColumn id="35" xr3:uid="{631AC813-95A6-4575-8ED3-B1148723B8A0}" name="Payback period" dataDxfId="0">
      <calculatedColumnFormula array="1">-IF(CzyKredyt="Tak",WydanaGotówka2,WydanaGotówka1)+Tabela3[[#This Row],[Skumulowany wynik z najmu netto z najmu]]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3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05EDD-27AF-481E-8E40-9B0255221EF8}">
  <dimension ref="A1:G29"/>
  <sheetViews>
    <sheetView workbookViewId="0">
      <selection activeCell="B20" sqref="B20"/>
    </sheetView>
  </sheetViews>
  <sheetFormatPr defaultColWidth="9.140625" defaultRowHeight="14.45"/>
  <cols>
    <col min="1" max="1" width="9.140625" style="50"/>
    <col min="2" max="2" width="80.28515625" style="50" customWidth="1"/>
    <col min="3" max="16384" width="9.140625" style="50"/>
  </cols>
  <sheetData>
    <row r="1" spans="1:7" ht="19.899999999999999">
      <c r="A1"/>
      <c r="B1" s="52" t="s">
        <v>0</v>
      </c>
      <c r="C1"/>
      <c r="D1"/>
      <c r="E1"/>
      <c r="F1"/>
      <c r="G1"/>
    </row>
    <row r="2" spans="1:7">
      <c r="A2"/>
      <c r="B2" s="6" t="s">
        <v>1</v>
      </c>
      <c r="C2"/>
      <c r="D2"/>
      <c r="E2"/>
      <c r="F2"/>
      <c r="G2"/>
    </row>
    <row r="3" spans="1:7">
      <c r="A3"/>
      <c r="B3"/>
      <c r="C3"/>
      <c r="D3"/>
      <c r="E3"/>
      <c r="F3"/>
      <c r="G3"/>
    </row>
    <row r="4" spans="1:7">
      <c r="A4"/>
      <c r="B4" t="s">
        <v>2</v>
      </c>
      <c r="C4"/>
      <c r="D4"/>
      <c r="E4"/>
      <c r="F4"/>
      <c r="G4"/>
    </row>
    <row r="5" spans="1:7">
      <c r="A5"/>
      <c r="B5"/>
      <c r="C5"/>
      <c r="D5"/>
      <c r="E5"/>
      <c r="F5"/>
      <c r="G5"/>
    </row>
    <row r="6" spans="1:7">
      <c r="A6"/>
      <c r="B6" s="58" t="s">
        <v>3</v>
      </c>
      <c r="C6"/>
      <c r="D6"/>
      <c r="E6"/>
      <c r="F6"/>
      <c r="G6"/>
    </row>
    <row r="7" spans="1:7">
      <c r="A7"/>
      <c r="B7"/>
      <c r="C7"/>
      <c r="D7"/>
      <c r="E7"/>
      <c r="F7"/>
      <c r="G7"/>
    </row>
    <row r="8" spans="1:7" ht="61.5" customHeight="1">
      <c r="A8"/>
      <c r="B8" s="213" t="s">
        <v>4</v>
      </c>
      <c r="C8" s="213"/>
      <c r="D8" s="213"/>
      <c r="E8" s="213"/>
      <c r="F8" s="213"/>
      <c r="G8" s="213"/>
    </row>
    <row r="9" spans="1:7">
      <c r="A9"/>
      <c r="B9"/>
      <c r="C9"/>
      <c r="D9"/>
      <c r="E9"/>
      <c r="F9"/>
      <c r="G9"/>
    </row>
    <row r="10" spans="1:7" ht="32.25" customHeight="1">
      <c r="A10"/>
      <c r="B10" s="214" t="s">
        <v>5</v>
      </c>
      <c r="C10" s="212"/>
      <c r="D10" s="212"/>
      <c r="E10" s="212"/>
      <c r="F10" s="212"/>
      <c r="G10" s="212"/>
    </row>
    <row r="11" spans="1:7">
      <c r="A11"/>
      <c r="B11"/>
      <c r="C11"/>
      <c r="D11"/>
      <c r="E11"/>
      <c r="F11"/>
      <c r="G11"/>
    </row>
    <row r="12" spans="1:7" ht="31.5" customHeight="1">
      <c r="A12"/>
      <c r="B12" s="213" t="s">
        <v>6</v>
      </c>
      <c r="C12" s="214"/>
      <c r="D12" s="214"/>
      <c r="E12" s="214"/>
      <c r="F12" s="214"/>
      <c r="G12" s="214"/>
    </row>
    <row r="13" spans="1:7">
      <c r="A13"/>
      <c r="B13"/>
      <c r="C13"/>
      <c r="D13"/>
      <c r="E13"/>
      <c r="F13"/>
      <c r="G13"/>
    </row>
    <row r="14" spans="1:7" ht="21.75" customHeight="1">
      <c r="A14"/>
      <c r="B14" s="214"/>
      <c r="C14" s="214"/>
      <c r="D14" s="214"/>
      <c r="E14" s="214"/>
      <c r="F14" s="214"/>
      <c r="G14" s="214"/>
    </row>
    <row r="15" spans="1:7">
      <c r="A15"/>
      <c r="B15"/>
      <c r="C15"/>
      <c r="D15"/>
      <c r="E15"/>
      <c r="F15"/>
      <c r="G15"/>
    </row>
    <row r="16" spans="1:7">
      <c r="A16"/>
      <c r="B16" t="s">
        <v>7</v>
      </c>
      <c r="C16"/>
      <c r="D16"/>
      <c r="E16"/>
      <c r="F16"/>
      <c r="G16"/>
    </row>
    <row r="17" spans="1:7">
      <c r="A17"/>
      <c r="B17" s="59"/>
      <c r="C17"/>
      <c r="D17"/>
      <c r="E17"/>
      <c r="F17"/>
      <c r="G17"/>
    </row>
    <row r="18" spans="1:7">
      <c r="A18"/>
      <c r="B18" s="59" t="s">
        <v>8</v>
      </c>
      <c r="C18"/>
      <c r="D18"/>
      <c r="E18"/>
      <c r="F18"/>
      <c r="G18"/>
    </row>
    <row r="19" spans="1:7" ht="43.15">
      <c r="A19"/>
      <c r="B19" s="60" t="s">
        <v>9</v>
      </c>
      <c r="C19"/>
      <c r="D19"/>
      <c r="E19"/>
      <c r="F19"/>
      <c r="G19"/>
    </row>
    <row r="20" spans="1:7" ht="28.9">
      <c r="A20"/>
      <c r="B20" s="60" t="s">
        <v>10</v>
      </c>
      <c r="C20"/>
      <c r="D20"/>
      <c r="E20"/>
      <c r="F20"/>
      <c r="G20"/>
    </row>
    <row r="21" spans="1:7">
      <c r="A21"/>
      <c r="B21" s="60"/>
      <c r="C21"/>
      <c r="D21"/>
      <c r="E21"/>
      <c r="F21"/>
      <c r="G21"/>
    </row>
    <row r="22" spans="1:7">
      <c r="A22"/>
      <c r="B22" t="s">
        <v>11</v>
      </c>
      <c r="C22"/>
      <c r="D22"/>
      <c r="E22"/>
      <c r="F22"/>
      <c r="G22"/>
    </row>
    <row r="23" spans="1:7" ht="62.25" customHeight="1">
      <c r="A23"/>
      <c r="B23" s="215" t="s">
        <v>12</v>
      </c>
      <c r="C23" s="215"/>
      <c r="D23" s="215"/>
      <c r="E23" s="215"/>
      <c r="F23" s="215"/>
      <c r="G23" s="215"/>
    </row>
    <row r="24" spans="1:7" ht="30.75" customHeight="1">
      <c r="A24"/>
      <c r="B24" s="215" t="s">
        <v>13</v>
      </c>
      <c r="C24" s="215"/>
      <c r="D24" s="215"/>
      <c r="E24" s="215"/>
      <c r="F24" s="215"/>
      <c r="G24" s="215"/>
    </row>
    <row r="25" spans="1:7">
      <c r="A25"/>
      <c r="B25"/>
      <c r="C25"/>
      <c r="D25"/>
      <c r="E25"/>
      <c r="F25"/>
      <c r="G25"/>
    </row>
    <row r="26" spans="1:7" ht="45" customHeight="1">
      <c r="A26"/>
      <c r="B26" s="212" t="s">
        <v>14</v>
      </c>
      <c r="C26" s="212"/>
      <c r="D26" s="212"/>
      <c r="E26" s="212"/>
      <c r="F26" s="212"/>
      <c r="G26" s="212"/>
    </row>
    <row r="27" spans="1:7" ht="30" customHeight="1">
      <c r="A27"/>
      <c r="B27" s="212" t="s">
        <v>15</v>
      </c>
      <c r="C27" s="212"/>
      <c r="D27" s="212"/>
      <c r="E27" s="212"/>
      <c r="F27" s="212"/>
      <c r="G27" s="212"/>
    </row>
    <row r="28" spans="1:7" ht="29.25" customHeight="1">
      <c r="A28"/>
      <c r="B28" s="212" t="s">
        <v>16</v>
      </c>
      <c r="C28" s="212"/>
      <c r="D28" s="212"/>
      <c r="E28" s="212"/>
      <c r="F28" s="212"/>
      <c r="G28" s="212"/>
    </row>
    <row r="29" spans="1:7">
      <c r="A29"/>
      <c r="B29"/>
      <c r="C29"/>
      <c r="D29"/>
      <c r="E29"/>
      <c r="F29"/>
      <c r="G29"/>
    </row>
  </sheetData>
  <mergeCells count="9">
    <mergeCell ref="B26:G26"/>
    <mergeCell ref="B27:G27"/>
    <mergeCell ref="B28:G28"/>
    <mergeCell ref="B8:G8"/>
    <mergeCell ref="B10:G10"/>
    <mergeCell ref="B12:G12"/>
    <mergeCell ref="B14:G14"/>
    <mergeCell ref="B23:G23"/>
    <mergeCell ref="B24:G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workbookViewId="0">
      <selection activeCell="C27" sqref="C27"/>
    </sheetView>
  </sheetViews>
  <sheetFormatPr defaultColWidth="9.140625" defaultRowHeight="13.9"/>
  <cols>
    <col min="1" max="1" width="9.140625" style="49"/>
    <col min="2" max="2" width="51.7109375" style="49" bestFit="1" customWidth="1"/>
    <col min="3" max="3" width="36.5703125" style="49" bestFit="1" customWidth="1"/>
    <col min="4" max="4" width="88.28515625" style="49" customWidth="1"/>
    <col min="5" max="16384" width="9.140625" style="49"/>
  </cols>
  <sheetData>
    <row r="1" spans="1:4">
      <c r="A1" s="20"/>
      <c r="B1" s="20"/>
      <c r="C1" s="20"/>
      <c r="D1" s="20"/>
    </row>
    <row r="2" spans="1:4" ht="19.899999999999999">
      <c r="A2" s="20"/>
      <c r="B2" s="47" t="s">
        <v>17</v>
      </c>
      <c r="C2" s="20"/>
      <c r="D2" s="20"/>
    </row>
    <row r="3" spans="1:4">
      <c r="A3" s="20"/>
      <c r="B3" s="20"/>
      <c r="C3" s="20"/>
      <c r="D3" s="20"/>
    </row>
    <row r="4" spans="1:4" ht="19.899999999999999">
      <c r="A4" s="20"/>
      <c r="B4" s="47" t="s">
        <v>18</v>
      </c>
      <c r="C4" s="24"/>
      <c r="D4" s="20"/>
    </row>
    <row r="5" spans="1:4" ht="14.45">
      <c r="A5" s="20"/>
      <c r="B5" s="27" t="s">
        <v>19</v>
      </c>
      <c r="C5" s="28">
        <v>243000</v>
      </c>
      <c r="D5" s="199" t="s">
        <v>20</v>
      </c>
    </row>
    <row r="6" spans="1:4" ht="14.45">
      <c r="A6" s="20"/>
      <c r="B6" s="21" t="s">
        <v>21</v>
      </c>
      <c r="C6" s="22">
        <v>0.02</v>
      </c>
      <c r="D6" s="20"/>
    </row>
    <row r="7" spans="1:4" ht="14.45">
      <c r="A7" s="20"/>
      <c r="B7" s="38" t="s">
        <v>22</v>
      </c>
      <c r="C7" s="54">
        <f>C5*C6</f>
        <v>4860</v>
      </c>
      <c r="D7" s="20"/>
    </row>
    <row r="8" spans="1:4" ht="14.45">
      <c r="A8" s="20"/>
      <c r="B8" s="38" t="s">
        <v>23</v>
      </c>
      <c r="C8" s="39">
        <v>19</v>
      </c>
      <c r="D8" s="20"/>
    </row>
    <row r="9" spans="1:4" ht="47.25" customHeight="1">
      <c r="A9" s="20"/>
      <c r="B9" s="38" t="s">
        <v>24</v>
      </c>
      <c r="C9" s="53" cm="1">
        <f t="array" ref="C9">IF(CenaM&lt;=3000,100,IF(CenaM&lt;=10000,100+(CenaM-3000)*3%,IF(CenaM&lt;=30000,310+(CenaM-10000)*2%,IF(CenaM&lt;=60000,710+(CenaM-30000)*1%,IF(CenaM&lt;=1000000,1010+(CenaM-60000)*0.4%,IF(CenaM&lt;=2000000,4770+(CenaM-1000000)*0.2%,MIN(6770+(CenaM-2000000)*0.25%,10000)))))))</f>
        <v>1742</v>
      </c>
      <c r="D9" s="44" t="s">
        <v>25</v>
      </c>
    </row>
    <row r="10" spans="1:4" ht="18" customHeight="1">
      <c r="A10" s="20"/>
      <c r="B10" s="38" t="s">
        <v>26</v>
      </c>
      <c r="C10" s="53">
        <f>C9*0.23</f>
        <v>400.66</v>
      </c>
      <c r="D10" s="45" t="s">
        <v>27</v>
      </c>
    </row>
    <row r="11" spans="1:4" ht="14.45">
      <c r="A11" s="20"/>
      <c r="B11" s="27" t="s">
        <v>28</v>
      </c>
      <c r="C11" s="29">
        <v>400</v>
      </c>
      <c r="D11" s="44" t="s">
        <v>29</v>
      </c>
    </row>
    <row r="12" spans="1:4" ht="14.45">
      <c r="A12" s="20"/>
      <c r="B12" s="27" t="s">
        <v>30</v>
      </c>
      <c r="C12" s="28">
        <v>400</v>
      </c>
      <c r="D12" s="44" t="s">
        <v>29</v>
      </c>
    </row>
    <row r="13" spans="1:4" ht="14.45">
      <c r="A13" s="20"/>
      <c r="B13" s="27" t="s">
        <v>31</v>
      </c>
      <c r="C13" s="28">
        <v>0</v>
      </c>
      <c r="D13" s="44" t="s">
        <v>32</v>
      </c>
    </row>
    <row r="14" spans="1:4" ht="27.6" customHeight="1">
      <c r="A14" s="20"/>
      <c r="B14" s="27" t="s">
        <v>33</v>
      </c>
      <c r="C14" s="28">
        <v>81564.05</v>
      </c>
      <c r="D14" s="115" t="s">
        <v>34</v>
      </c>
    </row>
    <row r="15" spans="1:4" ht="27.6">
      <c r="A15" s="20"/>
      <c r="B15" s="27" t="s">
        <v>35</v>
      </c>
      <c r="C15" s="28"/>
      <c r="D15" s="115" t="s">
        <v>36</v>
      </c>
    </row>
    <row r="16" spans="1:4" ht="14.45">
      <c r="A16" s="20"/>
      <c r="B16" s="27" t="s">
        <v>37</v>
      </c>
      <c r="C16" s="28">
        <v>0</v>
      </c>
      <c r="D16" s="44" t="s">
        <v>38</v>
      </c>
    </row>
    <row r="17" spans="1:4" ht="14.45">
      <c r="A17" s="20"/>
      <c r="B17" s="21" t="s">
        <v>39</v>
      </c>
      <c r="C17" s="25">
        <f>C5+SUM(C7:C16)</f>
        <v>332385.71000000002</v>
      </c>
      <c r="D17" s="20"/>
    </row>
    <row r="18" spans="1:4" ht="14.45">
      <c r="A18" s="20"/>
      <c r="B18" s="117" t="s">
        <v>40</v>
      </c>
      <c r="C18" s="25">
        <f>SUM(C7:C16)-C14</f>
        <v>7821.6600000000035</v>
      </c>
      <c r="D18" s="20"/>
    </row>
    <row r="19" spans="1:4" ht="14.45">
      <c r="A19" s="20"/>
      <c r="B19" s="21"/>
      <c r="C19" s="25"/>
      <c r="D19" s="20"/>
    </row>
    <row r="20" spans="1:4" ht="14.45">
      <c r="A20"/>
      <c r="B20"/>
      <c r="C20"/>
      <c r="D20"/>
    </row>
    <row r="21" spans="1:4" ht="28.9">
      <c r="A21"/>
      <c r="B21" s="21" t="s">
        <v>41</v>
      </c>
      <c r="C21" s="25">
        <v>408000</v>
      </c>
      <c r="D21" s="6" t="s">
        <v>42</v>
      </c>
    </row>
    <row r="22" spans="1:4" ht="27.6">
      <c r="A22" s="20"/>
      <c r="B22" s="91" t="s">
        <v>43</v>
      </c>
      <c r="C22" s="92">
        <v>408000</v>
      </c>
      <c r="D22" s="116" t="s">
        <v>44</v>
      </c>
    </row>
    <row r="23" spans="1:4">
      <c r="A23" s="20"/>
      <c r="B23" s="20"/>
      <c r="C23" s="20"/>
      <c r="D23" s="20"/>
    </row>
    <row r="24" spans="1:4" ht="14.45">
      <c r="A24" s="20"/>
      <c r="B24" s="40" t="s">
        <v>45</v>
      </c>
      <c r="C24" s="40" t="s">
        <v>46</v>
      </c>
      <c r="D24" s="20"/>
    </row>
    <row r="25" spans="1:4">
      <c r="A25" s="20"/>
      <c r="B25" s="20"/>
      <c r="C25" s="119" t="str">
        <f>IF(C24="Tak", "Uzupełnij zakładkę Kredyt", IF(C24="Nie", "Upewnij się, że kwota kredytu w zakładce 'Kredyt' to 0", ""))</f>
        <v>Uzupełnij zakładkę Kredyt</v>
      </c>
      <c r="D25" s="20"/>
    </row>
    <row r="26" spans="1:4">
      <c r="A26" s="20"/>
      <c r="B26" s="20"/>
      <c r="C26" s="20"/>
      <c r="D26" s="20"/>
    </row>
    <row r="27" spans="1:4" ht="14.45">
      <c r="A27" s="20"/>
      <c r="B27" s="21" t="s">
        <v>47</v>
      </c>
      <c r="C27" s="26" t="str">
        <f>IF(C24="Nie",C17,"Patrz zakładka Kredyt")</f>
        <v>Patrz zakładka Kredyt</v>
      </c>
      <c r="D27" s="20"/>
    </row>
    <row r="28" spans="1:4">
      <c r="A28" s="20"/>
      <c r="B28" s="20"/>
      <c r="C28" s="20"/>
      <c r="D28" s="20"/>
    </row>
  </sheetData>
  <dataValidations count="1">
    <dataValidation type="list" allowBlank="1" showInputMessage="1" showErrorMessage="1" sqref="C24" xr:uid="{9592BC05-B79F-4D63-998B-1838CF96F064}">
      <formula1>"Tak, Nie"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22CF6-6131-4512-B647-95946132BF8D}">
  <dimension ref="A1:AQ611"/>
  <sheetViews>
    <sheetView tabSelected="1" workbookViewId="0">
      <selection activeCell="B4" sqref="B4"/>
    </sheetView>
  </sheetViews>
  <sheetFormatPr defaultColWidth="9.140625" defaultRowHeight="14.45"/>
  <cols>
    <col min="1" max="1" width="38.28515625" bestFit="1" customWidth="1"/>
    <col min="2" max="2" width="15.5703125" customWidth="1"/>
    <col min="3" max="3" width="71" customWidth="1"/>
    <col min="4" max="4" width="31.28515625" bestFit="1" customWidth="1"/>
    <col min="5" max="5" width="6.5703125" bestFit="1" customWidth="1"/>
    <col min="6" max="6" width="10.7109375" bestFit="1" customWidth="1"/>
    <col min="7" max="7" width="12" bestFit="1" customWidth="1"/>
    <col min="8" max="8" width="17.28515625" bestFit="1" customWidth="1"/>
    <col min="9" max="9" width="13.5703125" customWidth="1"/>
    <col min="10" max="10" width="12.28515625" bestFit="1" customWidth="1"/>
    <col min="11" max="11" width="13.7109375" bestFit="1" customWidth="1"/>
    <col min="12" max="12" width="12.5703125" customWidth="1"/>
    <col min="13" max="13" width="28.7109375" bestFit="1" customWidth="1"/>
    <col min="14" max="14" width="8.85546875" customWidth="1"/>
    <col min="15" max="16384" width="9.140625" style="50"/>
  </cols>
  <sheetData>
    <row r="1" spans="1:13">
      <c r="B1" s="4"/>
    </row>
    <row r="2" spans="1:13" ht="17.45">
      <c r="A2" s="46" t="s">
        <v>48</v>
      </c>
      <c r="D2" s="46" t="s">
        <v>49</v>
      </c>
      <c r="K2" s="11"/>
      <c r="L2" s="11"/>
    </row>
    <row r="3" spans="1:13">
      <c r="H3" s="34" t="s">
        <v>50</v>
      </c>
      <c r="I3" s="35">
        <f>SUM(I6:I605)</f>
        <v>235333.68428725752</v>
      </c>
      <c r="J3" s="35">
        <f>SUM(J6:J605)</f>
        <v>326400.00000000006</v>
      </c>
      <c r="K3" s="35">
        <f>SUM(K6:K605)</f>
        <v>561733.68428725481</v>
      </c>
      <c r="L3" s="35"/>
    </row>
    <row r="4" spans="1:13">
      <c r="A4" s="30" t="s">
        <v>51</v>
      </c>
      <c r="B4" s="202" cm="1">
        <f t="array" ref="B4">IF(CzyKredyt="TAK",WartośćM*0.8,0)</f>
        <v>326400</v>
      </c>
      <c r="C4" t="s">
        <v>52</v>
      </c>
      <c r="D4" t="s">
        <v>53</v>
      </c>
      <c r="E4" t="s">
        <v>54</v>
      </c>
      <c r="F4" t="s">
        <v>55</v>
      </c>
      <c r="G4" t="s">
        <v>56</v>
      </c>
      <c r="H4" s="6" t="s">
        <v>57</v>
      </c>
      <c r="I4" t="s">
        <v>58</v>
      </c>
      <c r="J4" t="s">
        <v>59</v>
      </c>
      <c r="K4" t="s">
        <v>60</v>
      </c>
      <c r="L4" t="s">
        <v>61</v>
      </c>
      <c r="M4" s="6" t="s">
        <v>62</v>
      </c>
    </row>
    <row r="5" spans="1:13">
      <c r="A5" s="21" t="s">
        <v>63</v>
      </c>
      <c r="B5" s="26" cm="1">
        <f t="array" ref="B5">WartośćM-KwotaKredytu</f>
        <v>81600</v>
      </c>
      <c r="C5" t="s">
        <v>64</v>
      </c>
      <c r="F5" s="12"/>
      <c r="G5" s="2"/>
      <c r="H5" s="15"/>
      <c r="I5" s="11"/>
      <c r="J5" s="14"/>
      <c r="K5" s="11"/>
      <c r="L5" s="11"/>
      <c r="M5" s="5" cm="1">
        <f t="array" ref="M5">KwotaKredytu</f>
        <v>326400</v>
      </c>
    </row>
    <row r="6" spans="1:13">
      <c r="A6" s="66" t="s">
        <v>65</v>
      </c>
      <c r="B6" s="67">
        <v>44105</v>
      </c>
      <c r="D6" s="70" cm="1">
        <f t="array" ref="D6">IF(ROW(1:1)&lt;=IlośćRat,ROW(1:1),"")</f>
        <v>1</v>
      </c>
      <c r="E6" s="70">
        <f>IFERROR(ROUNDUP(Kredyt1[[#This Row],[Miesiąc kredytu]]/12,0),"")</f>
        <v>1</v>
      </c>
      <c r="F6" s="71">
        <f t="shared" ref="F6:F69" si="0">IFERROR(EDATE($B$6,D6-1),"")</f>
        <v>44105</v>
      </c>
      <c r="G6" s="72" cm="1">
        <f t="array" ref="G6">IF(Kredyt1[[#This Row],[Data]]="","",WIBOR3M)</f>
        <v>0.02</v>
      </c>
      <c r="H6" s="72" cm="1">
        <f t="array" ref="H6">IF(Kredyt1[[#This Row],[Data]]="","",G6+MarżaBAnku)</f>
        <v>0.04</v>
      </c>
      <c r="I6" s="73">
        <f>IF(Kredyt1[[#This Row],[Data]]="","",Kredyt1[[#This Row],[Cała rata]]-Kredyt1[[#This Row],[Kapitał]])</f>
        <v>1088.0000000000002</v>
      </c>
      <c r="J6" s="74" cm="1">
        <f t="array" ref="J6">IFERROR(-PPMT(Kredyt1[[#This Row],[Oprocentowanie]]/12,Kredyt1[[#This Row],[Miesiąc kredytu]],IlośćRat,KwotaKredytu),"")</f>
        <v>468.04898694531158</v>
      </c>
      <c r="K6" s="75" cm="1">
        <f t="array" ref="K6">IF(Kredyt1[[#This Row],[Miesiąc kredytu]]="","",-PMT(Kredyt1[[#This Row],[Oprocentowanie]]/12,IlośćRat,KwotaKredytu))</f>
        <v>1556.0489869453118</v>
      </c>
      <c r="L6" s="75">
        <v>0</v>
      </c>
      <c r="M6" s="76">
        <f>IFERROR(M5-J6-Kredyt1[[#This Row],[Nadpłata]],"")</f>
        <v>325931.9510130547</v>
      </c>
    </row>
    <row r="7" spans="1:13">
      <c r="A7" s="65" t="s">
        <v>66</v>
      </c>
      <c r="B7" s="69">
        <v>30</v>
      </c>
      <c r="C7" t="s">
        <v>67</v>
      </c>
      <c r="D7" s="70" cm="1">
        <f t="array" ref="D7">IF(ROW(2:2)&lt;=IlośćRat,ROW(2:2),"")</f>
        <v>2</v>
      </c>
      <c r="E7" s="70">
        <f>IFERROR(ROUNDUP(Kredyt1[[#This Row],[Miesiąc kredytu]]/12,0),"")</f>
        <v>1</v>
      </c>
      <c r="F7" s="71">
        <f t="shared" si="0"/>
        <v>44136</v>
      </c>
      <c r="G7" s="72" cm="1">
        <f t="array" ref="G7">IF(Kredyt1[[#This Row],[Data]]="","",WIBOR3M)</f>
        <v>0.02</v>
      </c>
      <c r="H7" s="72" cm="1">
        <f t="array" ref="H7">IF(Kredyt1[[#This Row],[Data]]="","",G7+MarżaBAnku)</f>
        <v>0.04</v>
      </c>
      <c r="I7" s="73">
        <f>IF(Kredyt1[[#This Row],[Data]]="","",Kredyt1[[#This Row],[Cała rata]]-Kredyt1[[#This Row],[Kapitał]])</f>
        <v>1086.4398367101824</v>
      </c>
      <c r="J7" s="74" cm="1">
        <f t="array" ref="J7">IFERROR(-PPMT(Kredyt1[[#This Row],[Oprocentowanie]]/12,Kredyt1[[#This Row],[Miesiąc kredytu]],IlośćRat,KwotaKredytu),"")</f>
        <v>469.60915023512939</v>
      </c>
      <c r="K7" s="75" cm="1">
        <f t="array" ref="K7">IF(Kredyt1[[#This Row],[Miesiąc kredytu]]="","",-PMT(Kredyt1[[#This Row],[Oprocentowanie]]/12,IlośćRat,KwotaKredytu))</f>
        <v>1556.0489869453118</v>
      </c>
      <c r="L7" s="75">
        <v>0</v>
      </c>
      <c r="M7" s="76">
        <f>IFERROR(M6-J7-Kredyt1[[#This Row],[Nadpłata]],"")</f>
        <v>325462.34186281956</v>
      </c>
    </row>
    <row r="8" spans="1:13">
      <c r="A8" s="21" t="s">
        <v>68</v>
      </c>
      <c r="B8" s="68">
        <f>DATE(YEAR(B6)+B7, MONTH(B6), DAY(B6))</f>
        <v>55062</v>
      </c>
      <c r="D8" s="70" cm="1">
        <f t="array" ref="D8">IF(ROW(3:3)&lt;=IlośćRat,ROW(3:3),"")</f>
        <v>3</v>
      </c>
      <c r="E8" s="70">
        <f>IFERROR(ROUNDUP(Kredyt1[[#This Row],[Miesiąc kredytu]]/12,0),"")</f>
        <v>1</v>
      </c>
      <c r="F8" s="71">
        <f t="shared" si="0"/>
        <v>44166</v>
      </c>
      <c r="G8" s="72" cm="1">
        <f t="array" ref="G8">IF(Kredyt1[[#This Row],[Data]]="","",WIBOR3M)</f>
        <v>0.02</v>
      </c>
      <c r="H8" s="72" cm="1">
        <f t="array" ref="H8">IF(Kredyt1[[#This Row],[Data]]="","",G8+MarżaBAnku)</f>
        <v>0.04</v>
      </c>
      <c r="I8" s="73">
        <f>IF(Kredyt1[[#This Row],[Data]]="","",Kredyt1[[#This Row],[Cała rata]]-Kredyt1[[#This Row],[Kapitał]])</f>
        <v>1084.8744728760653</v>
      </c>
      <c r="J8" s="74" cm="1">
        <f t="array" ref="J8">IFERROR(-PPMT(Kredyt1[[#This Row],[Oprocentowanie]]/12,Kredyt1[[#This Row],[Miesiąc kredytu]],IlośćRat,KwotaKredytu),"")</f>
        <v>471.17451406924647</v>
      </c>
      <c r="K8" s="75" cm="1">
        <f t="array" ref="K8">IF(Kredyt1[[#This Row],[Miesiąc kredytu]]="","",-PMT(Kredyt1[[#This Row],[Oprocentowanie]]/12,IlośćRat,KwotaKredytu))</f>
        <v>1556.0489869453118</v>
      </c>
      <c r="L8" s="75">
        <v>0</v>
      </c>
      <c r="M8" s="76">
        <f>IFERROR(M7-J8-Kredyt1[[#This Row],[Nadpłata]],"")</f>
        <v>324991.16734875034</v>
      </c>
    </row>
    <row r="9" spans="1:13">
      <c r="A9" s="21" t="s">
        <v>69</v>
      </c>
      <c r="B9" s="25">
        <f>DATEDIF(B6,B8,"M")+1</f>
        <v>361</v>
      </c>
      <c r="D9" s="70" cm="1">
        <f t="array" ref="D9">IF(ROW(4:4)&lt;=IlośćRat,ROW(4:4),"")</f>
        <v>4</v>
      </c>
      <c r="E9" s="70">
        <f>IFERROR(ROUNDUP(Kredyt1[[#This Row],[Miesiąc kredytu]]/12,0),"")</f>
        <v>1</v>
      </c>
      <c r="F9" s="71">
        <f t="shared" si="0"/>
        <v>44197</v>
      </c>
      <c r="G9" s="72" cm="1">
        <f t="array" ref="G9">IF(Kredyt1[[#This Row],[Data]]="","",WIBOR3M)</f>
        <v>0.02</v>
      </c>
      <c r="H9" s="72" cm="1">
        <f t="array" ref="H9">IF(Kredyt1[[#This Row],[Data]]="","",G9+MarżaBAnku)</f>
        <v>0.04</v>
      </c>
      <c r="I9" s="73">
        <f>IF(Kredyt1[[#This Row],[Data]]="","",Kredyt1[[#This Row],[Cała rata]]-Kredyt1[[#This Row],[Kapitał]])</f>
        <v>1083.303891162501</v>
      </c>
      <c r="J9" s="74" cm="1">
        <f t="array" ref="J9">IFERROR(-PPMT(Kredyt1[[#This Row],[Oprocentowanie]]/12,Kredyt1[[#This Row],[Miesiąc kredytu]],IlośćRat,KwotaKredytu),"")</f>
        <v>472.74509578281067</v>
      </c>
      <c r="K9" s="75" cm="1">
        <f t="array" ref="K9">IF(Kredyt1[[#This Row],[Miesiąc kredytu]]="","",-PMT(Kredyt1[[#This Row],[Oprocentowanie]]/12,IlośćRat,KwotaKredytu))</f>
        <v>1556.0489869453118</v>
      </c>
      <c r="L9" s="75">
        <v>0</v>
      </c>
      <c r="M9" s="76">
        <f>IFERROR(M8-J9-Kredyt1[[#This Row],[Nadpłata]],"")</f>
        <v>324518.42225296755</v>
      </c>
    </row>
    <row r="10" spans="1:13">
      <c r="A10" s="30" t="s">
        <v>70</v>
      </c>
      <c r="B10" s="31">
        <v>0.02</v>
      </c>
      <c r="C10" s="6" t="s">
        <v>71</v>
      </c>
      <c r="D10" s="70" cm="1">
        <f t="array" ref="D10">IF(ROW(5:5)&lt;=IlośćRat,ROW(5:5),"")</f>
        <v>5</v>
      </c>
      <c r="E10" s="70">
        <f>IFERROR(ROUNDUP(Kredyt1[[#This Row],[Miesiąc kredytu]]/12,0),"")</f>
        <v>1</v>
      </c>
      <c r="F10" s="71">
        <f t="shared" si="0"/>
        <v>44228</v>
      </c>
      <c r="G10" s="72" cm="1">
        <f t="array" ref="G10">IF(Kredyt1[[#This Row],[Data]]="","",WIBOR3M)</f>
        <v>0.02</v>
      </c>
      <c r="H10" s="72" cm="1">
        <f t="array" ref="H10">IF(Kredyt1[[#This Row],[Data]]="","",G10+MarżaBAnku)</f>
        <v>0.04</v>
      </c>
      <c r="I10" s="73">
        <f>IF(Kredyt1[[#This Row],[Data]]="","",Kredyt1[[#This Row],[Cała rata]]-Kredyt1[[#This Row],[Kapitał]])</f>
        <v>1081.7280741765585</v>
      </c>
      <c r="J10" s="74" cm="1">
        <f t="array" ref="J10">IFERROR(-PPMT(Kredyt1[[#This Row],[Oprocentowanie]]/12,Kredyt1[[#This Row],[Miesiąc kredytu]],IlośćRat,KwotaKredytu),"")</f>
        <v>474.32091276875332</v>
      </c>
      <c r="K10" s="75" cm="1">
        <f t="array" ref="K10">IF(Kredyt1[[#This Row],[Miesiąc kredytu]]="","",-PMT(Kredyt1[[#This Row],[Oprocentowanie]]/12,IlośćRat,KwotaKredytu))</f>
        <v>1556.0489869453118</v>
      </c>
      <c r="L10" s="75">
        <v>0</v>
      </c>
      <c r="M10" s="76">
        <f>IFERROR(M9-J10-Kredyt1[[#This Row],[Nadpłata]],"")</f>
        <v>324044.10134019877</v>
      </c>
    </row>
    <row r="11" spans="1:13">
      <c r="A11" s="21" t="s">
        <v>72</v>
      </c>
      <c r="B11" s="25">
        <f>B10*B4</f>
        <v>6528</v>
      </c>
      <c r="C11" s="6" t="s">
        <v>73</v>
      </c>
      <c r="D11" s="70" cm="1">
        <f t="array" ref="D11">IF(ROW(6:6)&lt;=IlośćRat,ROW(6:6),"")</f>
        <v>6</v>
      </c>
      <c r="E11" s="70">
        <f>IFERROR(ROUNDUP(Kredyt1[[#This Row],[Miesiąc kredytu]]/12,0),"")</f>
        <v>1</v>
      </c>
      <c r="F11" s="71">
        <f t="shared" si="0"/>
        <v>44256</v>
      </c>
      <c r="G11" s="72" cm="1">
        <f t="array" ref="G11">IF(Kredyt1[[#This Row],[Data]]="","",WIBOR3M)</f>
        <v>0.02</v>
      </c>
      <c r="H11" s="72" cm="1">
        <f t="array" ref="H11">IF(Kredyt1[[#This Row],[Data]]="","",G11+MarżaBAnku)</f>
        <v>0.04</v>
      </c>
      <c r="I11" s="73">
        <f>IF(Kredyt1[[#This Row],[Data]]="","",Kredyt1[[#This Row],[Cała rata]]-Kredyt1[[#This Row],[Kapitał]])</f>
        <v>1080.1470044673292</v>
      </c>
      <c r="J11" s="74" cm="1">
        <f t="array" ref="J11">IFERROR(-PPMT(Kredyt1[[#This Row],[Oprocentowanie]]/12,Kredyt1[[#This Row],[Miesiąc kredytu]],IlośćRat,KwotaKredytu),"")</f>
        <v>475.90198247798259</v>
      </c>
      <c r="K11" s="75" cm="1">
        <f t="array" ref="K11">IF(Kredyt1[[#This Row],[Miesiąc kredytu]]="","",-PMT(Kredyt1[[#This Row],[Oprocentowanie]]/12,IlośćRat,KwotaKredytu))</f>
        <v>1556.0489869453118</v>
      </c>
      <c r="L11" s="75">
        <v>0</v>
      </c>
      <c r="M11" s="76">
        <f>IFERROR(M10-J11-Kredyt1[[#This Row],[Nadpłata]],"")</f>
        <v>323568.19935772079</v>
      </c>
    </row>
    <row r="12" spans="1:13">
      <c r="A12" s="30" t="s">
        <v>74</v>
      </c>
      <c r="B12" s="31">
        <v>0.02</v>
      </c>
      <c r="C12" s="6" t="s">
        <v>75</v>
      </c>
      <c r="D12" s="70" cm="1">
        <f t="array" ref="D12">IF(ROW(7:7)&lt;=IlośćRat,ROW(7:7),"")</f>
        <v>7</v>
      </c>
      <c r="E12" s="70">
        <f>IFERROR(ROUNDUP(Kredyt1[[#This Row],[Miesiąc kredytu]]/12,0),"")</f>
        <v>1</v>
      </c>
      <c r="F12" s="71">
        <f t="shared" si="0"/>
        <v>44287</v>
      </c>
      <c r="G12" s="72" cm="1">
        <f t="array" ref="G12">IF(Kredyt1[[#This Row],[Data]]="","",WIBOR3M)</f>
        <v>0.02</v>
      </c>
      <c r="H12" s="72" cm="1">
        <f t="array" ref="H12">IF(Kredyt1[[#This Row],[Data]]="","",G12+MarżaBAnku)</f>
        <v>0.04</v>
      </c>
      <c r="I12" s="73">
        <f>IF(Kredyt1[[#This Row],[Data]]="","",Kredyt1[[#This Row],[Cała rata]]-Kredyt1[[#This Row],[Kapitał]])</f>
        <v>1078.560664525736</v>
      </c>
      <c r="J12" s="74" cm="1">
        <f t="array" ref="J12">IFERROR(-PPMT(Kredyt1[[#This Row],[Oprocentowanie]]/12,Kredyt1[[#This Row],[Miesiąc kredytu]],IlośćRat,KwotaKredytu),"")</f>
        <v>477.48832241957575</v>
      </c>
      <c r="K12" s="75" cm="1">
        <f t="array" ref="K12">IF(Kredyt1[[#This Row],[Miesiąc kredytu]]="","",-PMT(Kredyt1[[#This Row],[Oprocentowanie]]/12,IlośćRat,KwotaKredytu))</f>
        <v>1556.0489869453118</v>
      </c>
      <c r="L12" s="75">
        <v>0</v>
      </c>
      <c r="M12" s="76">
        <f>IFERROR(M11-J12-Kredyt1[[#This Row],[Nadpłata]],"")</f>
        <v>323090.71103530121</v>
      </c>
    </row>
    <row r="13" spans="1:13" ht="57.6">
      <c r="A13" s="30" t="s">
        <v>56</v>
      </c>
      <c r="B13" s="31">
        <v>0.02</v>
      </c>
      <c r="C13" s="6" t="s">
        <v>76</v>
      </c>
      <c r="D13" s="70" cm="1">
        <f t="array" ref="D13">IF(ROW(8:8)&lt;=IlośćRat,ROW(8:8),"")</f>
        <v>8</v>
      </c>
      <c r="E13" s="70">
        <f>IFERROR(ROUNDUP(Kredyt1[[#This Row],[Miesiąc kredytu]]/12,0),"")</f>
        <v>1</v>
      </c>
      <c r="F13" s="71">
        <f t="shared" si="0"/>
        <v>44317</v>
      </c>
      <c r="G13" s="72" cm="1">
        <f t="array" ref="G13">IF(Kredyt1[[#This Row],[Data]]="","",WIBOR3M)</f>
        <v>0.02</v>
      </c>
      <c r="H13" s="72" cm="1">
        <f t="array" ref="H13">IF(Kredyt1[[#This Row],[Data]]="","",G13+MarżaBAnku)</f>
        <v>0.04</v>
      </c>
      <c r="I13" s="73">
        <f>IF(Kredyt1[[#This Row],[Data]]="","",Kredyt1[[#This Row],[Cała rata]]-Kredyt1[[#This Row],[Kapitał]])</f>
        <v>1076.9690367843373</v>
      </c>
      <c r="J13" s="74" cm="1">
        <f t="array" ref="J13">IFERROR(-PPMT(Kredyt1[[#This Row],[Oprocentowanie]]/12,Kredyt1[[#This Row],[Miesiąc kredytu]],IlośćRat,KwotaKredytu),"")</f>
        <v>479.07995016097436</v>
      </c>
      <c r="K13" s="75" cm="1">
        <f t="array" ref="K13">IF(Kredyt1[[#This Row],[Miesiąc kredytu]]="","",-PMT(Kredyt1[[#This Row],[Oprocentowanie]]/12,IlośćRat,KwotaKredytu))</f>
        <v>1556.0489869453118</v>
      </c>
      <c r="L13" s="75">
        <v>0</v>
      </c>
      <c r="M13" s="76">
        <f>IFERROR(M12-J13-Kredyt1[[#This Row],[Nadpłata]],"")</f>
        <v>322611.63108514022</v>
      </c>
    </row>
    <row r="14" spans="1:13">
      <c r="A14" s="21" t="s">
        <v>77</v>
      </c>
      <c r="B14" s="33">
        <f>B13+B12</f>
        <v>0.04</v>
      </c>
      <c r="D14" s="70" cm="1">
        <f t="array" ref="D14">IF(ROW(9:9)&lt;=IlośćRat,ROW(9:9),"")</f>
        <v>9</v>
      </c>
      <c r="E14" s="70">
        <f>IFERROR(ROUNDUP(Kredyt1[[#This Row],[Miesiąc kredytu]]/12,0),"")</f>
        <v>1</v>
      </c>
      <c r="F14" s="71">
        <f t="shared" si="0"/>
        <v>44348</v>
      </c>
      <c r="G14" s="72" cm="1">
        <f t="array" ref="G14">IF(Kredyt1[[#This Row],[Data]]="","",WIBOR3M)</f>
        <v>0.02</v>
      </c>
      <c r="H14" s="72" cm="1">
        <f t="array" ref="H14">IF(Kredyt1[[#This Row],[Data]]="","",G14+MarżaBAnku)</f>
        <v>0.04</v>
      </c>
      <c r="I14" s="73">
        <f>IF(Kredyt1[[#This Row],[Data]]="","",Kredyt1[[#This Row],[Cała rata]]-Kredyt1[[#This Row],[Kapitał]])</f>
        <v>1075.3721036171341</v>
      </c>
      <c r="J14" s="74" cm="1">
        <f t="array" ref="J14">IFERROR(-PPMT(Kredyt1[[#This Row],[Oprocentowanie]]/12,Kredyt1[[#This Row],[Miesiąc kredytu]],IlośćRat,KwotaKredytu),"")</f>
        <v>480.67688332817761</v>
      </c>
      <c r="K14" s="75" cm="1">
        <f t="array" ref="K14">IF(Kredyt1[[#This Row],[Miesiąc kredytu]]="","",-PMT(Kredyt1[[#This Row],[Oprocentowanie]]/12,IlośćRat,KwotaKredytu))</f>
        <v>1556.0489869453118</v>
      </c>
      <c r="L14" s="75">
        <v>0</v>
      </c>
      <c r="M14" s="76">
        <f>IFERROR(M13-J14-Kredyt1[[#This Row],[Nadpłata]],"")</f>
        <v>322130.95420181204</v>
      </c>
    </row>
    <row r="15" spans="1:13">
      <c r="D15" s="70" cm="1">
        <f t="array" ref="D15">IF(ROW(10:10)&lt;=IlośćRat,ROW(10:10),"")</f>
        <v>10</v>
      </c>
      <c r="E15" s="70">
        <f>IFERROR(ROUNDUP(Kredyt1[[#This Row],[Miesiąc kredytu]]/12,0),"")</f>
        <v>1</v>
      </c>
      <c r="F15" s="71">
        <f t="shared" si="0"/>
        <v>44378</v>
      </c>
      <c r="G15" s="72" cm="1">
        <f t="array" ref="G15">IF(Kredyt1[[#This Row],[Data]]="","",WIBOR3M)</f>
        <v>0.02</v>
      </c>
      <c r="H15" s="72" cm="1">
        <f t="array" ref="H15">IF(Kredyt1[[#This Row],[Data]]="","",G15+MarżaBAnku)</f>
        <v>0.04</v>
      </c>
      <c r="I15" s="73">
        <f>IF(Kredyt1[[#This Row],[Data]]="","",Kredyt1[[#This Row],[Cała rata]]-Kredyt1[[#This Row],[Kapitał]])</f>
        <v>1073.7698473393734</v>
      </c>
      <c r="J15" s="74" cm="1">
        <f t="array" ref="J15">IFERROR(-PPMT(Kredyt1[[#This Row],[Oprocentowanie]]/12,Kredyt1[[#This Row],[Miesiąc kredytu]],IlośćRat,KwotaKredytu),"")</f>
        <v>482.27913960593821</v>
      </c>
      <c r="K15" s="75" cm="1">
        <f t="array" ref="K15">IF(Kredyt1[[#This Row],[Miesiąc kredytu]]="","",-PMT(Kredyt1[[#This Row],[Oprocentowanie]]/12,IlośćRat,KwotaKredytu))</f>
        <v>1556.0489869453118</v>
      </c>
      <c r="L15" s="75">
        <v>0</v>
      </c>
      <c r="M15" s="76">
        <f>IFERROR(M14-J15-Kredyt1[[#This Row],[Nadpłata]],"")</f>
        <v>321648.67506220611</v>
      </c>
    </row>
    <row r="16" spans="1:13" ht="28.9">
      <c r="A16" s="100" t="s">
        <v>78</v>
      </c>
      <c r="B16" s="101"/>
      <c r="C16" s="6" t="s">
        <v>79</v>
      </c>
      <c r="D16" s="70" cm="1">
        <f t="array" ref="D16">IF(ROW(11:11)&lt;=IlośćRat,ROW(11:11),"")</f>
        <v>11</v>
      </c>
      <c r="E16" s="70">
        <f>IFERROR(ROUNDUP(Kredyt1[[#This Row],[Miesiąc kredytu]]/12,0),"")</f>
        <v>1</v>
      </c>
      <c r="F16" s="71">
        <f t="shared" si="0"/>
        <v>44409</v>
      </c>
      <c r="G16" s="72" cm="1">
        <f t="array" ref="G16">IF(Kredyt1[[#This Row],[Data]]="","",WIBOR3M)</f>
        <v>0.02</v>
      </c>
      <c r="H16" s="72" cm="1">
        <f t="array" ref="H16">IF(Kredyt1[[#This Row],[Data]]="","",G16+MarżaBAnku)</f>
        <v>0.04</v>
      </c>
      <c r="I16" s="73">
        <f>IF(Kredyt1[[#This Row],[Data]]="","",Kredyt1[[#This Row],[Cała rata]]-Kredyt1[[#This Row],[Kapitał]])</f>
        <v>1072.1622502073537</v>
      </c>
      <c r="J16" s="74" cm="1">
        <f t="array" ref="J16">IFERROR(-PPMT(Kredyt1[[#This Row],[Oprocentowanie]]/12,Kredyt1[[#This Row],[Miesiąc kredytu]],IlośćRat,KwotaKredytu),"")</f>
        <v>483.88673673795802</v>
      </c>
      <c r="K16" s="75" cm="1">
        <f t="array" ref="K16">IF(Kredyt1[[#This Row],[Miesiąc kredytu]]="","",-PMT(Kredyt1[[#This Row],[Oprocentowanie]]/12,IlośćRat,KwotaKredytu))</f>
        <v>1556.0489869453118</v>
      </c>
      <c r="L16" s="75">
        <v>0</v>
      </c>
      <c r="M16" s="76">
        <f>IFERROR(M15-J16-Kredyt1[[#This Row],[Nadpłata]],"")</f>
        <v>321164.78832546814</v>
      </c>
    </row>
    <row r="17" spans="1:13">
      <c r="D17" s="70" cm="1">
        <f t="array" ref="D17">IF(ROW(12:12)&lt;=IlośćRat,ROW(12:12),"")</f>
        <v>12</v>
      </c>
      <c r="E17" s="70">
        <f>IFERROR(ROUNDUP(Kredyt1[[#This Row],[Miesiąc kredytu]]/12,0),"")</f>
        <v>1</v>
      </c>
      <c r="F17" s="71">
        <f t="shared" si="0"/>
        <v>44440</v>
      </c>
      <c r="G17" s="72" cm="1">
        <f t="array" ref="G17">IF(Kredyt1[[#This Row],[Data]]="","",WIBOR3M)</f>
        <v>0.02</v>
      </c>
      <c r="H17" s="72" cm="1">
        <f t="array" ref="H17">IF(Kredyt1[[#This Row],[Data]]="","",G17+MarżaBAnku)</f>
        <v>0.04</v>
      </c>
      <c r="I17" s="73">
        <f>IF(Kredyt1[[#This Row],[Data]]="","",Kredyt1[[#This Row],[Cała rata]]-Kredyt1[[#This Row],[Kapitał]])</f>
        <v>1070.5492944182272</v>
      </c>
      <c r="J17" s="74" cm="1">
        <f t="array" ref="J17">IFERROR(-PPMT(Kredyt1[[#This Row],[Oprocentowanie]]/12,Kredyt1[[#This Row],[Miesiąc kredytu]],IlośćRat,KwotaKredytu),"")</f>
        <v>485.49969252708456</v>
      </c>
      <c r="K17" s="75" cm="1">
        <f t="array" ref="K17">IF(Kredyt1[[#This Row],[Miesiąc kredytu]]="","",-PMT(Kredyt1[[#This Row],[Oprocentowanie]]/12,IlośćRat,KwotaKredytu))</f>
        <v>1556.0489869453118</v>
      </c>
      <c r="L17" s="75">
        <v>0</v>
      </c>
      <c r="M17" s="76">
        <f>IFERROR(M16-J17-Kredyt1[[#This Row],[Nadpłata]],"")</f>
        <v>320679.28863294102</v>
      </c>
    </row>
    <row r="18" spans="1:13" ht="28.9">
      <c r="A18" s="30" t="s">
        <v>80</v>
      </c>
      <c r="B18" s="31">
        <v>3.0000000000000001E-3</v>
      </c>
      <c r="C18" s="6" t="s">
        <v>81</v>
      </c>
      <c r="D18" s="70" cm="1">
        <f t="array" ref="D18">IF(ROW(13:13)&lt;=IlośćRat,ROW(13:13),"")</f>
        <v>13</v>
      </c>
      <c r="E18" s="70">
        <f>IFERROR(ROUNDUP(Kredyt1[[#This Row],[Miesiąc kredytu]]/12,0),"")</f>
        <v>2</v>
      </c>
      <c r="F18" s="71">
        <f t="shared" si="0"/>
        <v>44470</v>
      </c>
      <c r="G18" s="72" cm="1">
        <f t="array" ref="G18">IF(Kredyt1[[#This Row],[Data]]="","",WIBOR3M)</f>
        <v>0.02</v>
      </c>
      <c r="H18" s="72" cm="1">
        <f t="array" ref="H18">IF(Kredyt1[[#This Row],[Data]]="","",G18+MarżaBAnku)</f>
        <v>0.04</v>
      </c>
      <c r="I18" s="73">
        <f>IF(Kredyt1[[#This Row],[Data]]="","",Kredyt1[[#This Row],[Cała rata]]-Kredyt1[[#This Row],[Kapitał]])</f>
        <v>1068.9309621098037</v>
      </c>
      <c r="J18" s="74" cm="1">
        <f t="array" ref="J18">IFERROR(-PPMT(Kredyt1[[#This Row],[Oprocentowanie]]/12,Kredyt1[[#This Row],[Miesiąc kredytu]],IlośćRat,KwotaKredytu),"")</f>
        <v>487.11802483550821</v>
      </c>
      <c r="K18" s="75" cm="1">
        <f t="array" ref="K18">IF(Kredyt1[[#This Row],[Miesiąc kredytu]]="","",-PMT(Kredyt1[[#This Row],[Oprocentowanie]]/12,IlośćRat,KwotaKredytu))</f>
        <v>1556.0489869453118</v>
      </c>
      <c r="L18" s="75">
        <v>0</v>
      </c>
      <c r="M18" s="76">
        <f>IFERROR(M17-J18-Kredyt1[[#This Row],[Nadpłata]],"")</f>
        <v>320192.17060810555</v>
      </c>
    </row>
    <row r="19" spans="1:13">
      <c r="A19" t="s">
        <v>82</v>
      </c>
      <c r="B19" s="56" cm="1">
        <f t="array" ref="B19">KwotaKredytu*UbezŻyć</f>
        <v>979.2</v>
      </c>
      <c r="D19" s="70" cm="1">
        <f t="array" ref="D19">IF(ROW(14:14)&lt;=IlośćRat,ROW(14:14),"")</f>
        <v>14</v>
      </c>
      <c r="E19" s="70">
        <f>IFERROR(ROUNDUP(Kredyt1[[#This Row],[Miesiąc kredytu]]/12,0),"")</f>
        <v>2</v>
      </c>
      <c r="F19" s="71">
        <f t="shared" si="0"/>
        <v>44501</v>
      </c>
      <c r="G19" s="72" cm="1">
        <f t="array" ref="G19">IF(Kredyt1[[#This Row],[Data]]="","",WIBOR3M)</f>
        <v>0.02</v>
      </c>
      <c r="H19" s="72" cm="1">
        <f t="array" ref="H19">IF(Kredyt1[[#This Row],[Data]]="","",G19+MarżaBAnku)</f>
        <v>0.04</v>
      </c>
      <c r="I19" s="73">
        <f>IF(Kredyt1[[#This Row],[Data]]="","",Kredyt1[[#This Row],[Cała rata]]-Kredyt1[[#This Row],[Kapitał]])</f>
        <v>1067.3072353603518</v>
      </c>
      <c r="J19" s="74" cm="1">
        <f t="array" ref="J19">IFERROR(-PPMT(Kredyt1[[#This Row],[Oprocentowanie]]/12,Kredyt1[[#This Row],[Miesiąc kredytu]],IlośćRat,KwotaKredytu),"")</f>
        <v>488.7417515849599</v>
      </c>
      <c r="K19" s="75" cm="1">
        <f t="array" ref="K19">IF(Kredyt1[[#This Row],[Miesiąc kredytu]]="","",-PMT(Kredyt1[[#This Row],[Oprocentowanie]]/12,IlośćRat,KwotaKredytu))</f>
        <v>1556.0489869453118</v>
      </c>
      <c r="L19" s="75">
        <v>0</v>
      </c>
      <c r="M19" s="76">
        <f>IFERROR(M18-J19-Kredyt1[[#This Row],[Nadpłata]],"")</f>
        <v>319703.42885652056</v>
      </c>
    </row>
    <row r="20" spans="1:13" ht="43.15">
      <c r="A20" s="30" t="s">
        <v>83</v>
      </c>
      <c r="B20" s="32">
        <v>1E-3</v>
      </c>
      <c r="C20" s="6" t="s">
        <v>84</v>
      </c>
      <c r="D20" s="70" cm="1">
        <f t="array" ref="D20">IF(ROW(15:15)&lt;=IlośćRat,ROW(15:15),"")</f>
        <v>15</v>
      </c>
      <c r="E20" s="70">
        <f>IFERROR(ROUNDUP(Kredyt1[[#This Row],[Miesiąc kredytu]]/12,0),"")</f>
        <v>2</v>
      </c>
      <c r="F20" s="71">
        <f t="shared" si="0"/>
        <v>44531</v>
      </c>
      <c r="G20" s="72" cm="1">
        <f t="array" ref="G20">IF(Kredyt1[[#This Row],[Data]]="","",WIBOR3M)</f>
        <v>0.02</v>
      </c>
      <c r="H20" s="72" cm="1">
        <f t="array" ref="H20">IF(Kredyt1[[#This Row],[Data]]="","",G20+MarżaBAnku)</f>
        <v>0.04</v>
      </c>
      <c r="I20" s="73">
        <f>IF(Kredyt1[[#This Row],[Data]]="","",Kredyt1[[#This Row],[Cała rata]]-Kredyt1[[#This Row],[Kapitał]])</f>
        <v>1065.6780961884019</v>
      </c>
      <c r="J20" s="74" cm="1">
        <f t="array" ref="J20">IFERROR(-PPMT(Kredyt1[[#This Row],[Oprocentowanie]]/12,Kredyt1[[#This Row],[Miesiąc kredytu]],IlośćRat,KwotaKredytu),"")</f>
        <v>490.37089075690972</v>
      </c>
      <c r="K20" s="75" cm="1">
        <f t="array" ref="K20">IF(Kredyt1[[#This Row],[Miesiąc kredytu]]="","",-PMT(Kredyt1[[#This Row],[Oprocentowanie]]/12,IlośćRat,KwotaKredytu))</f>
        <v>1556.0489869453118</v>
      </c>
      <c r="L20" s="75">
        <v>0</v>
      </c>
      <c r="M20" s="76">
        <f>IFERROR(M19-J20-Kredyt1[[#This Row],[Nadpłata]],"")</f>
        <v>319213.05796576367</v>
      </c>
    </row>
    <row r="21" spans="1:13">
      <c r="A21" s="30" t="s">
        <v>85</v>
      </c>
      <c r="B21" s="57" cm="1">
        <f t="array" ref="B21">B20*WartośćWycena</f>
        <v>408</v>
      </c>
      <c r="D21" s="70" cm="1">
        <f t="array" ref="D21">IF(ROW(16:16)&lt;=IlośćRat,ROW(16:16),"")</f>
        <v>16</v>
      </c>
      <c r="E21" s="70">
        <f>IFERROR(ROUNDUP(Kredyt1[[#This Row],[Miesiąc kredytu]]/12,0),"")</f>
        <v>2</v>
      </c>
      <c r="F21" s="71">
        <f t="shared" si="0"/>
        <v>44562</v>
      </c>
      <c r="G21" s="72" cm="1">
        <f t="array" ref="G21">IF(Kredyt1[[#This Row],[Data]]="","",WIBOR3M)</f>
        <v>0.02</v>
      </c>
      <c r="H21" s="72" cm="1">
        <f t="array" ref="H21">IF(Kredyt1[[#This Row],[Data]]="","",G21+MarżaBAnku)</f>
        <v>0.04</v>
      </c>
      <c r="I21" s="73">
        <f>IF(Kredyt1[[#This Row],[Data]]="","",Kredyt1[[#This Row],[Cała rata]]-Kredyt1[[#This Row],[Kapitał]])</f>
        <v>1064.0435265525457</v>
      </c>
      <c r="J21" s="74" cm="1">
        <f t="array" ref="J21">IFERROR(-PPMT(Kredyt1[[#This Row],[Oprocentowanie]]/12,Kredyt1[[#This Row],[Miesiąc kredytu]],IlośćRat,KwotaKredytu),"")</f>
        <v>492.00546039276605</v>
      </c>
      <c r="K21" s="75" cm="1">
        <f t="array" ref="K21">IF(Kredyt1[[#This Row],[Miesiąc kredytu]]="","",-PMT(Kredyt1[[#This Row],[Oprocentowanie]]/12,IlośćRat,KwotaKredytu))</f>
        <v>1556.0489869453118</v>
      </c>
      <c r="L21" s="75">
        <v>0</v>
      </c>
      <c r="M21" s="76">
        <f>IFERROR(M20-J21-Kredyt1[[#This Row],[Nadpłata]],"")</f>
        <v>318721.05250537093</v>
      </c>
    </row>
    <row r="22" spans="1:13">
      <c r="D22" s="70" cm="1">
        <f t="array" ref="D22">IF(ROW(17:17)&lt;=IlośćRat,ROW(17:17),"")</f>
        <v>17</v>
      </c>
      <c r="E22" s="70">
        <f>IFERROR(ROUNDUP(Kredyt1[[#This Row],[Miesiąc kredytu]]/12,0),"")</f>
        <v>2</v>
      </c>
      <c r="F22" s="71">
        <f t="shared" si="0"/>
        <v>44593</v>
      </c>
      <c r="G22" s="72" cm="1">
        <f t="array" ref="G22">IF(Kredyt1[[#This Row],[Data]]="","",WIBOR3M)</f>
        <v>0.02</v>
      </c>
      <c r="H22" s="72" cm="1">
        <f t="array" ref="H22">IF(Kredyt1[[#This Row],[Data]]="","",G22+MarżaBAnku)</f>
        <v>0.04</v>
      </c>
      <c r="I22" s="73">
        <f>IF(Kredyt1[[#This Row],[Data]]="","",Kredyt1[[#This Row],[Cała rata]]-Kredyt1[[#This Row],[Kapitał]])</f>
        <v>1062.4035083512365</v>
      </c>
      <c r="J22" s="74" cm="1">
        <f t="array" ref="J22">IFERROR(-PPMT(Kredyt1[[#This Row],[Oprocentowanie]]/12,Kredyt1[[#This Row],[Miesiąc kredytu]],IlośćRat,KwotaKredytu),"")</f>
        <v>493.64547859407526</v>
      </c>
      <c r="K22" s="75" cm="1">
        <f t="array" ref="K22">IF(Kredyt1[[#This Row],[Miesiąc kredytu]]="","",-PMT(Kredyt1[[#This Row],[Oprocentowanie]]/12,IlośćRat,KwotaKredytu))</f>
        <v>1556.0489869453118</v>
      </c>
      <c r="L22" s="75">
        <v>0</v>
      </c>
      <c r="M22" s="76">
        <f>IFERROR(M21-J22-Kredyt1[[#This Row],[Nadpłata]],"")</f>
        <v>318227.40702677687</v>
      </c>
    </row>
    <row r="23" spans="1:13">
      <c r="A23" s="21" t="s">
        <v>86</v>
      </c>
      <c r="B23" s="26" cm="1">
        <f t="array" ref="B23">SumaK+B11+UbezMiesz+B19+B16</f>
        <v>340300.91000000003</v>
      </c>
      <c r="D23" s="70" cm="1">
        <f t="array" ref="D23">IF(ROW(18:18)&lt;=IlośćRat,ROW(18:18),"")</f>
        <v>18</v>
      </c>
      <c r="E23" s="70">
        <f>IFERROR(ROUNDUP(Kredyt1[[#This Row],[Miesiąc kredytu]]/12,0),"")</f>
        <v>2</v>
      </c>
      <c r="F23" s="71">
        <f t="shared" si="0"/>
        <v>44621</v>
      </c>
      <c r="G23" s="72" cm="1">
        <f t="array" ref="G23">IF(Kredyt1[[#This Row],[Data]]="","",WIBOR3M)</f>
        <v>0.02</v>
      </c>
      <c r="H23" s="72" cm="1">
        <f t="array" ref="H23">IF(Kredyt1[[#This Row],[Data]]="","",G23+MarżaBAnku)</f>
        <v>0.04</v>
      </c>
      <c r="I23" s="73">
        <f>IF(Kredyt1[[#This Row],[Data]]="","",Kredyt1[[#This Row],[Cała rata]]-Kredyt1[[#This Row],[Kapitał]])</f>
        <v>1060.7580234225895</v>
      </c>
      <c r="J23" s="74" cm="1">
        <f t="array" ref="J23">IFERROR(-PPMT(Kredyt1[[#This Row],[Oprocentowanie]]/12,Kredyt1[[#This Row],[Miesiąc kredytu]],IlośćRat,KwotaKredytu),"")</f>
        <v>495.29096352272222</v>
      </c>
      <c r="K23" s="75" cm="1">
        <f t="array" ref="K23">IF(Kredyt1[[#This Row],[Miesiąc kredytu]]="","",-PMT(Kredyt1[[#This Row],[Oprocentowanie]]/12,IlośćRat,KwotaKredytu))</f>
        <v>1556.0489869453118</v>
      </c>
      <c r="L23" s="75">
        <v>0</v>
      </c>
      <c r="M23" s="76">
        <f>IFERROR(M22-J23-Kredyt1[[#This Row],[Nadpłata]],"")</f>
        <v>317732.11606325413</v>
      </c>
    </row>
    <row r="24" spans="1:13">
      <c r="A24" s="21" t="s">
        <v>87</v>
      </c>
      <c r="B24" s="26">
        <f>B23-B4</f>
        <v>13900.910000000033</v>
      </c>
      <c r="D24" s="70" cm="1">
        <f t="array" ref="D24">IF(ROW(19:19)&lt;=IlośćRat,ROW(19:19),"")</f>
        <v>19</v>
      </c>
      <c r="E24" s="70">
        <f>IFERROR(ROUNDUP(Kredyt1[[#This Row],[Miesiąc kredytu]]/12,0),"")</f>
        <v>2</v>
      </c>
      <c r="F24" s="71">
        <f t="shared" si="0"/>
        <v>44652</v>
      </c>
      <c r="G24" s="72" cm="1">
        <f t="array" ref="G24">IF(Kredyt1[[#This Row],[Data]]="","",WIBOR3M)</f>
        <v>0.02</v>
      </c>
      <c r="H24" s="72" cm="1">
        <f t="array" ref="H24">IF(Kredyt1[[#This Row],[Data]]="","",G24+MarżaBAnku)</f>
        <v>0.04</v>
      </c>
      <c r="I24" s="73">
        <f>IF(Kredyt1[[#This Row],[Data]]="","",Kredyt1[[#This Row],[Cała rata]]-Kredyt1[[#This Row],[Kapitał]])</f>
        <v>1059.1070535441804</v>
      </c>
      <c r="J24" s="74" cm="1">
        <f t="array" ref="J24">IFERROR(-PPMT(Kredyt1[[#This Row],[Oprocentowanie]]/12,Kredyt1[[#This Row],[Miesiąc kredytu]],IlośćRat,KwotaKredytu),"")</f>
        <v>496.94193340113139</v>
      </c>
      <c r="K24" s="75" cm="1">
        <f t="array" ref="K24">IF(Kredyt1[[#This Row],[Miesiąc kredytu]]="","",-PMT(Kredyt1[[#This Row],[Oprocentowanie]]/12,IlośćRat,KwotaKredytu))</f>
        <v>1556.0489869453118</v>
      </c>
      <c r="L24" s="75">
        <v>0</v>
      </c>
      <c r="M24" s="76">
        <f>IFERROR(M23-J24-Kredyt1[[#This Row],[Nadpłata]],"")</f>
        <v>317235.17412985303</v>
      </c>
    </row>
    <row r="25" spans="1:13">
      <c r="A25" s="21" t="s">
        <v>88</v>
      </c>
      <c r="B25" s="26" cm="1">
        <f t="array" ref="B25">B11+B16+B19+UbezMiesz</f>
        <v>7915.2</v>
      </c>
      <c r="D25" s="70" cm="1">
        <f t="array" ref="D25">IF(ROW(20:20)&lt;=IlośćRat,ROW(20:20),"")</f>
        <v>20</v>
      </c>
      <c r="E25" s="70">
        <f>IFERROR(ROUNDUP(Kredyt1[[#This Row],[Miesiąc kredytu]]/12,0),"")</f>
        <v>2</v>
      </c>
      <c r="F25" s="71">
        <f t="shared" si="0"/>
        <v>44682</v>
      </c>
      <c r="G25" s="72" cm="1">
        <f t="array" ref="G25">IF(Kredyt1[[#This Row],[Data]]="","",WIBOR3M)</f>
        <v>0.02</v>
      </c>
      <c r="H25" s="72" cm="1">
        <f t="array" ref="H25">IF(Kredyt1[[#This Row],[Data]]="","",G25+MarżaBAnku)</f>
        <v>0.04</v>
      </c>
      <c r="I25" s="73">
        <f>IF(Kredyt1[[#This Row],[Data]]="","",Kredyt1[[#This Row],[Cała rata]]-Kredyt1[[#This Row],[Kapitał]])</f>
        <v>1057.4505804328433</v>
      </c>
      <c r="J25" s="74" cm="1">
        <f t="array" ref="J25">IFERROR(-PPMT(Kredyt1[[#This Row],[Oprocentowanie]]/12,Kredyt1[[#This Row],[Miesiąc kredytu]],IlośćRat,KwotaKredytu),"")</f>
        <v>498.5984065124685</v>
      </c>
      <c r="K25" s="75" cm="1">
        <f t="array" ref="K25">IF(Kredyt1[[#This Row],[Miesiąc kredytu]]="","",-PMT(Kredyt1[[#This Row],[Oprocentowanie]]/12,IlośćRat,KwotaKredytu))</f>
        <v>1556.0489869453118</v>
      </c>
      <c r="L25" s="75">
        <v>0</v>
      </c>
      <c r="M25" s="76">
        <f>IFERROR(M24-J25-Kredyt1[[#This Row],[Nadpłata]],"")</f>
        <v>316736.57572334056</v>
      </c>
    </row>
    <row r="26" spans="1:13">
      <c r="A26" s="21" t="s">
        <v>89</v>
      </c>
      <c r="B26" s="26">
        <f>KosztyKredytu+WydatkiPozaCenąM</f>
        <v>15736.860000000004</v>
      </c>
      <c r="D26" s="70" cm="1">
        <f t="array" ref="D26">IF(ROW(21:21)&lt;=IlośćRat,ROW(21:21),"")</f>
        <v>21</v>
      </c>
      <c r="E26" s="70">
        <f>IFERROR(ROUNDUP(Kredyt1[[#This Row],[Miesiąc kredytu]]/12,0),"")</f>
        <v>2</v>
      </c>
      <c r="F26" s="71">
        <f t="shared" si="0"/>
        <v>44713</v>
      </c>
      <c r="G26" s="72" cm="1">
        <f t="array" ref="G26">IF(Kredyt1[[#This Row],[Data]]="","",WIBOR3M)</f>
        <v>0.02</v>
      </c>
      <c r="H26" s="72" cm="1">
        <f t="array" ref="H26">IF(Kredyt1[[#This Row],[Data]]="","",G26+MarżaBAnku)</f>
        <v>0.04</v>
      </c>
      <c r="I26" s="73">
        <f>IF(Kredyt1[[#This Row],[Data]]="","",Kredyt1[[#This Row],[Cała rata]]-Kredyt1[[#This Row],[Kapitał]])</f>
        <v>1055.7885857444685</v>
      </c>
      <c r="J26" s="74" cm="1">
        <f t="array" ref="J26">IFERROR(-PPMT(Kredyt1[[#This Row],[Oprocentowanie]]/12,Kredyt1[[#This Row],[Miesiąc kredytu]],IlośćRat,KwotaKredytu),"")</f>
        <v>500.26040120084338</v>
      </c>
      <c r="K26" s="75" cm="1">
        <f t="array" ref="K26">IF(Kredyt1[[#This Row],[Miesiąc kredytu]]="","",-PMT(Kredyt1[[#This Row],[Oprocentowanie]]/12,IlośćRat,KwotaKredytu))</f>
        <v>1556.0489869453118</v>
      </c>
      <c r="L26" s="75">
        <v>0</v>
      </c>
      <c r="M26" s="76">
        <f>IFERROR(M25-J26-Kredyt1[[#This Row],[Nadpłata]],"")</f>
        <v>316236.31532213971</v>
      </c>
    </row>
    <row r="27" spans="1:13">
      <c r="B27" s="108"/>
      <c r="D27" s="70" cm="1">
        <f t="array" ref="D27">IF(ROW(22:22)&lt;=IlośćRat,ROW(22:22),"")</f>
        <v>22</v>
      </c>
      <c r="E27" s="70">
        <f>IFERROR(ROUNDUP(Kredyt1[[#This Row],[Miesiąc kredytu]]/12,0),"")</f>
        <v>2</v>
      </c>
      <c r="F27" s="71">
        <f t="shared" si="0"/>
        <v>44743</v>
      </c>
      <c r="G27" s="72" cm="1">
        <f t="array" ref="G27">IF(Kredyt1[[#This Row],[Data]]="","",WIBOR3M)</f>
        <v>0.02</v>
      </c>
      <c r="H27" s="72" cm="1">
        <f t="array" ref="H27">IF(Kredyt1[[#This Row],[Data]]="","",G27+MarżaBAnku)</f>
        <v>0.04</v>
      </c>
      <c r="I27" s="73">
        <f>IF(Kredyt1[[#This Row],[Data]]="","",Kredyt1[[#This Row],[Cała rata]]-Kredyt1[[#This Row],[Kapitał]])</f>
        <v>1054.1210510737992</v>
      </c>
      <c r="J27" s="74" cm="1">
        <f t="array" ref="J27">IFERROR(-PPMT(Kredyt1[[#This Row],[Oprocentowanie]]/12,Kredyt1[[#This Row],[Miesiąc kredytu]],IlośćRat,KwotaKredytu),"")</f>
        <v>501.92793587151266</v>
      </c>
      <c r="K27" s="75" cm="1">
        <f t="array" ref="K27">IF(Kredyt1[[#This Row],[Miesiąc kredytu]]="","",-PMT(Kredyt1[[#This Row],[Oprocentowanie]]/12,IlośćRat,KwotaKredytu))</f>
        <v>1556.0489869453118</v>
      </c>
      <c r="L27" s="75">
        <v>0</v>
      </c>
      <c r="M27" s="76">
        <f>IFERROR(M26-J27-Kredyt1[[#This Row],[Nadpłata]],"")</f>
        <v>315734.38738626818</v>
      </c>
    </row>
    <row r="28" spans="1:13">
      <c r="B28" s="108"/>
      <c r="D28" s="70" cm="1">
        <f t="array" ref="D28">IF(ROW(23:23)&lt;=IlośćRat,ROW(23:23),"")</f>
        <v>23</v>
      </c>
      <c r="E28" s="70">
        <f>IFERROR(ROUNDUP(Kredyt1[[#This Row],[Miesiąc kredytu]]/12,0),"")</f>
        <v>2</v>
      </c>
      <c r="F28" s="71">
        <f t="shared" si="0"/>
        <v>44774</v>
      </c>
      <c r="G28" s="72" cm="1">
        <f t="array" ref="G28">IF(Kredyt1[[#This Row],[Data]]="","",WIBOR3M)</f>
        <v>0.02</v>
      </c>
      <c r="H28" s="72" cm="1">
        <f t="array" ref="H28">IF(Kredyt1[[#This Row],[Data]]="","",G28+MarżaBAnku)</f>
        <v>0.04</v>
      </c>
      <c r="I28" s="73">
        <f>IF(Kredyt1[[#This Row],[Data]]="","",Kredyt1[[#This Row],[Cała rata]]-Kredyt1[[#This Row],[Kapitał]])</f>
        <v>1052.4479579542274</v>
      </c>
      <c r="J28" s="74" cm="1">
        <f t="array" ref="J28">IFERROR(-PPMT(Kredyt1[[#This Row],[Oprocentowanie]]/12,Kredyt1[[#This Row],[Miesiąc kredytu]],IlośćRat,KwotaKredytu),"")</f>
        <v>503.60102899108443</v>
      </c>
      <c r="K28" s="75" cm="1">
        <f t="array" ref="K28">IF(Kredyt1[[#This Row],[Miesiąc kredytu]]="","",-PMT(Kredyt1[[#This Row],[Oprocentowanie]]/12,IlośćRat,KwotaKredytu))</f>
        <v>1556.0489869453118</v>
      </c>
      <c r="L28" s="75">
        <v>0</v>
      </c>
      <c r="M28" s="76">
        <f>IFERROR(M27-J28-Kredyt1[[#This Row],[Nadpłata]],"")</f>
        <v>315230.78635727707</v>
      </c>
    </row>
    <row r="29" spans="1:13">
      <c r="B29" s="108"/>
      <c r="D29" s="70" cm="1">
        <f t="array" ref="D29">IF(ROW(24:24)&lt;=IlośćRat,ROW(24:24),"")</f>
        <v>24</v>
      </c>
      <c r="E29" s="70">
        <f>IFERROR(ROUNDUP(Kredyt1[[#This Row],[Miesiąc kredytu]]/12,0),"")</f>
        <v>2</v>
      </c>
      <c r="F29" s="71">
        <f t="shared" si="0"/>
        <v>44805</v>
      </c>
      <c r="G29" s="72" cm="1">
        <f t="array" ref="G29">IF(Kredyt1[[#This Row],[Data]]="","",WIBOR3M)</f>
        <v>0.02</v>
      </c>
      <c r="H29" s="72" cm="1">
        <f t="array" ref="H29">IF(Kredyt1[[#This Row],[Data]]="","",G29+MarżaBAnku)</f>
        <v>0.04</v>
      </c>
      <c r="I29" s="73">
        <f>IF(Kredyt1[[#This Row],[Data]]="","",Kredyt1[[#This Row],[Cała rata]]-Kredyt1[[#This Row],[Kapitał]])</f>
        <v>1050.7692878575904</v>
      </c>
      <c r="J29" s="74" cm="1">
        <f t="array" ref="J29">IFERROR(-PPMT(Kredyt1[[#This Row],[Oprocentowanie]]/12,Kredyt1[[#This Row],[Miesiąc kredytu]],IlośćRat,KwotaKredytu),"")</f>
        <v>505.27969908772138</v>
      </c>
      <c r="K29" s="75" cm="1">
        <f t="array" ref="K29">IF(Kredyt1[[#This Row],[Miesiąc kredytu]]="","",-PMT(Kredyt1[[#This Row],[Oprocentowanie]]/12,IlośćRat,KwotaKredytu))</f>
        <v>1556.0489869453118</v>
      </c>
      <c r="L29" s="75">
        <v>0</v>
      </c>
      <c r="M29" s="76">
        <f>IFERROR(M28-J29-Kredyt1[[#This Row],[Nadpłata]],"")</f>
        <v>314725.50665818935</v>
      </c>
    </row>
    <row r="30" spans="1:13">
      <c r="B30" s="118"/>
      <c r="D30" s="70" cm="1">
        <f t="array" ref="D30">IF(ROW(25:25)&lt;=IlośćRat,ROW(25:25),"")</f>
        <v>25</v>
      </c>
      <c r="E30" s="70">
        <f>IFERROR(ROUNDUP(Kredyt1[[#This Row],[Miesiąc kredytu]]/12,0),"")</f>
        <v>3</v>
      </c>
      <c r="F30" s="71">
        <f t="shared" si="0"/>
        <v>44835</v>
      </c>
      <c r="G30" s="72" cm="1">
        <f t="array" ref="G30">IF(Kredyt1[[#This Row],[Data]]="","",WIBOR3M)</f>
        <v>0.02</v>
      </c>
      <c r="H30" s="72" cm="1">
        <f t="array" ref="H30">IF(Kredyt1[[#This Row],[Data]]="","",G30+MarżaBAnku)</f>
        <v>0.04</v>
      </c>
      <c r="I30" s="73">
        <f>IF(Kredyt1[[#This Row],[Data]]="","",Kredyt1[[#This Row],[Cała rata]]-Kredyt1[[#This Row],[Kapitał]])</f>
        <v>1049.0850221939645</v>
      </c>
      <c r="J30" s="74" cm="1">
        <f t="array" ref="J30">IFERROR(-PPMT(Kredyt1[[#This Row],[Oprocentowanie]]/12,Kredyt1[[#This Row],[Miesiąc kredytu]],IlośćRat,KwotaKredytu),"")</f>
        <v>506.96396475134713</v>
      </c>
      <c r="K30" s="75" cm="1">
        <f t="array" ref="K30">IF(Kredyt1[[#This Row],[Miesiąc kredytu]]="","",-PMT(Kredyt1[[#This Row],[Oprocentowanie]]/12,IlośćRat,KwotaKredytu))</f>
        <v>1556.0489869453118</v>
      </c>
      <c r="L30" s="75">
        <v>0</v>
      </c>
      <c r="M30" s="76">
        <f>IFERROR(M29-J30-Kredyt1[[#This Row],[Nadpłata]],"")</f>
        <v>314218.54269343801</v>
      </c>
    </row>
    <row r="31" spans="1:13">
      <c r="D31" s="70" cm="1">
        <f t="array" ref="D31">IF(ROW(26:26)&lt;=IlośćRat,ROW(26:26),"")</f>
        <v>26</v>
      </c>
      <c r="E31" s="70">
        <f>IFERROR(ROUNDUP(Kredyt1[[#This Row],[Miesiąc kredytu]]/12,0),"")</f>
        <v>3</v>
      </c>
      <c r="F31" s="71">
        <f t="shared" si="0"/>
        <v>44866</v>
      </c>
      <c r="G31" s="72" cm="1">
        <f t="array" ref="G31">IF(Kredyt1[[#This Row],[Data]]="","",WIBOR3M)</f>
        <v>0.02</v>
      </c>
      <c r="H31" s="72" cm="1">
        <f t="array" ref="H31">IF(Kredyt1[[#This Row],[Data]]="","",G31+MarżaBAnku)</f>
        <v>0.04</v>
      </c>
      <c r="I31" s="73">
        <f>IF(Kredyt1[[#This Row],[Data]]="","",Kredyt1[[#This Row],[Cała rata]]-Kredyt1[[#This Row],[Kapitał]])</f>
        <v>1047.3951423114599</v>
      </c>
      <c r="J31" s="74" cm="1">
        <f t="array" ref="J31">IFERROR(-PPMT(Kredyt1[[#This Row],[Oprocentowanie]]/12,Kredyt1[[#This Row],[Miesiąc kredytu]],IlośćRat,KwotaKredytu),"")</f>
        <v>508.65384463385169</v>
      </c>
      <c r="K31" s="75" cm="1">
        <f t="array" ref="K31">IF(Kredyt1[[#This Row],[Miesiąc kredytu]]="","",-PMT(Kredyt1[[#This Row],[Oprocentowanie]]/12,IlośćRat,KwotaKredytu))</f>
        <v>1556.0489869453118</v>
      </c>
      <c r="L31" s="75">
        <v>0</v>
      </c>
      <c r="M31" s="76">
        <f>IFERROR(M30-J31-Kredyt1[[#This Row],[Nadpłata]],"")</f>
        <v>313709.88884880417</v>
      </c>
    </row>
    <row r="32" spans="1:13">
      <c r="D32" s="70" cm="1">
        <f t="array" ref="D32">IF(ROW(27:27)&lt;=IlośćRat,ROW(27:27),"")</f>
        <v>27</v>
      </c>
      <c r="E32" s="70">
        <f>IFERROR(ROUNDUP(Kredyt1[[#This Row],[Miesiąc kredytu]]/12,0),"")</f>
        <v>3</v>
      </c>
      <c r="F32" s="71">
        <f t="shared" si="0"/>
        <v>44896</v>
      </c>
      <c r="G32" s="72" cm="1">
        <f t="array" ref="G32">IF(Kredyt1[[#This Row],[Data]]="","",WIBOR3M)</f>
        <v>0.02</v>
      </c>
      <c r="H32" s="72" cm="1">
        <f t="array" ref="H32">IF(Kredyt1[[#This Row],[Data]]="","",G32+MarżaBAnku)</f>
        <v>0.04</v>
      </c>
      <c r="I32" s="73">
        <f>IF(Kredyt1[[#This Row],[Data]]="","",Kredyt1[[#This Row],[Cała rata]]-Kredyt1[[#This Row],[Kapitał]])</f>
        <v>1045.699629496014</v>
      </c>
      <c r="J32" s="74" cm="1">
        <f t="array" ref="J32">IFERROR(-PPMT(Kredyt1[[#This Row],[Oprocentowanie]]/12,Kredyt1[[#This Row],[Miesiąc kredytu]],IlośćRat,KwotaKredytu),"")</f>
        <v>510.34935744929783</v>
      </c>
      <c r="K32" s="75" cm="1">
        <f t="array" ref="K32">IF(Kredyt1[[#This Row],[Miesiąc kredytu]]="","",-PMT(Kredyt1[[#This Row],[Oprocentowanie]]/12,IlośćRat,KwotaKredytu))</f>
        <v>1556.0489869453118</v>
      </c>
      <c r="L32" s="75">
        <v>0</v>
      </c>
      <c r="M32" s="76">
        <f>IFERROR(M31-J32-Kredyt1[[#This Row],[Nadpłata]],"")</f>
        <v>313199.5394913549</v>
      </c>
    </row>
    <row r="33" spans="4:13">
      <c r="D33" s="70" cm="1">
        <f t="array" ref="D33">IF(ROW(28:28)&lt;=IlośćRat,ROW(28:28),"")</f>
        <v>28</v>
      </c>
      <c r="E33" s="70">
        <f>IFERROR(ROUNDUP(Kredyt1[[#This Row],[Miesiąc kredytu]]/12,0),"")</f>
        <v>3</v>
      </c>
      <c r="F33" s="71">
        <f t="shared" si="0"/>
        <v>44927</v>
      </c>
      <c r="G33" s="72" cm="1">
        <f t="array" ref="G33">IF(Kredyt1[[#This Row],[Data]]="","",WIBOR3M)</f>
        <v>0.02</v>
      </c>
      <c r="H33" s="72" cm="1">
        <f t="array" ref="H33">IF(Kredyt1[[#This Row],[Data]]="","",G33+MarżaBAnku)</f>
        <v>0.04</v>
      </c>
      <c r="I33" s="73">
        <f>IF(Kredyt1[[#This Row],[Data]]="","",Kredyt1[[#This Row],[Cała rata]]-Kredyt1[[#This Row],[Kapitał]])</f>
        <v>1043.9984649711828</v>
      </c>
      <c r="J33" s="74" cm="1">
        <f t="array" ref="J33">IFERROR(-PPMT(Kredyt1[[#This Row],[Oprocentowanie]]/12,Kredyt1[[#This Row],[Miesiąc kredytu]],IlośćRat,KwotaKredytu),"")</f>
        <v>512.05052197412886</v>
      </c>
      <c r="K33" s="75" cm="1">
        <f t="array" ref="K33">IF(Kredyt1[[#This Row],[Miesiąc kredytu]]="","",-PMT(Kredyt1[[#This Row],[Oprocentowanie]]/12,IlośćRat,KwotaKredytu))</f>
        <v>1556.0489869453118</v>
      </c>
      <c r="L33" s="75">
        <v>0</v>
      </c>
      <c r="M33" s="76">
        <f>IFERROR(M32-J33-Kredyt1[[#This Row],[Nadpłata]],"")</f>
        <v>312687.48896938079</v>
      </c>
    </row>
    <row r="34" spans="4:13">
      <c r="D34" s="70" cm="1">
        <f t="array" ref="D34">IF(ROW(29:29)&lt;=IlośćRat,ROW(29:29),"")</f>
        <v>29</v>
      </c>
      <c r="E34" s="70">
        <f>IFERROR(ROUNDUP(Kredyt1[[#This Row],[Miesiąc kredytu]]/12,0),"")</f>
        <v>3</v>
      </c>
      <c r="F34" s="71">
        <f t="shared" si="0"/>
        <v>44958</v>
      </c>
      <c r="G34" s="72" cm="1">
        <f t="array" ref="G34">IF(Kredyt1[[#This Row],[Data]]="","",WIBOR3M)</f>
        <v>0.02</v>
      </c>
      <c r="H34" s="72" cm="1">
        <f t="array" ref="H34">IF(Kredyt1[[#This Row],[Data]]="","",G34+MarżaBAnku)</f>
        <v>0.04</v>
      </c>
      <c r="I34" s="73">
        <f>IF(Kredyt1[[#This Row],[Data]]="","",Kredyt1[[#This Row],[Cała rata]]-Kredyt1[[#This Row],[Kapitał]])</f>
        <v>1042.2916298979358</v>
      </c>
      <c r="J34" s="74" cm="1">
        <f t="array" ref="J34">IFERROR(-PPMT(Kredyt1[[#This Row],[Oprocentowanie]]/12,Kredyt1[[#This Row],[Miesiąc kredytu]],IlośćRat,KwotaKredytu),"")</f>
        <v>513.75735704737599</v>
      </c>
      <c r="K34" s="75" cm="1">
        <f t="array" ref="K34">IF(Kredyt1[[#This Row],[Miesiąc kredytu]]="","",-PMT(Kredyt1[[#This Row],[Oprocentowanie]]/12,IlośćRat,KwotaKredytu))</f>
        <v>1556.0489869453118</v>
      </c>
      <c r="L34" s="75">
        <v>0</v>
      </c>
      <c r="M34" s="76">
        <f>IFERROR(M33-J34-Kredyt1[[#This Row],[Nadpłata]],"")</f>
        <v>312173.73161233345</v>
      </c>
    </row>
    <row r="35" spans="4:13">
      <c r="D35" s="70" cm="1">
        <f t="array" ref="D35">IF(ROW(30:30)&lt;=IlośćRat,ROW(30:30),"")</f>
        <v>30</v>
      </c>
      <c r="E35" s="70">
        <f>IFERROR(ROUNDUP(Kredyt1[[#This Row],[Miesiąc kredytu]]/12,0),"")</f>
        <v>3</v>
      </c>
      <c r="F35" s="71">
        <f t="shared" si="0"/>
        <v>44986</v>
      </c>
      <c r="G35" s="72" cm="1">
        <f t="array" ref="G35">IF(Kredyt1[[#This Row],[Data]]="","",WIBOR3M)</f>
        <v>0.02</v>
      </c>
      <c r="H35" s="72" cm="1">
        <f t="array" ref="H35">IF(Kredyt1[[#This Row],[Data]]="","",G35+MarżaBAnku)</f>
        <v>0.04</v>
      </c>
      <c r="I35" s="73">
        <f>IF(Kredyt1[[#This Row],[Data]]="","",Kredyt1[[#This Row],[Cała rata]]-Kredyt1[[#This Row],[Kapitał]])</f>
        <v>1040.5791053744447</v>
      </c>
      <c r="J35" s="74" cm="1">
        <f t="array" ref="J35">IFERROR(-PPMT(Kredyt1[[#This Row],[Oprocentowanie]]/12,Kredyt1[[#This Row],[Miesiąc kredytu]],IlośćRat,KwotaKredytu),"")</f>
        <v>515.46988157086707</v>
      </c>
      <c r="K35" s="75" cm="1">
        <f t="array" ref="K35">IF(Kredyt1[[#This Row],[Miesiąc kredytu]]="","",-PMT(Kredyt1[[#This Row],[Oprocentowanie]]/12,IlośćRat,KwotaKredytu))</f>
        <v>1556.0489869453118</v>
      </c>
      <c r="L35" s="75">
        <v>0</v>
      </c>
      <c r="M35" s="76">
        <f>IFERROR(M34-J35-Kredyt1[[#This Row],[Nadpłata]],"")</f>
        <v>311658.26173076261</v>
      </c>
    </row>
    <row r="36" spans="4:13">
      <c r="D36" s="70" cm="1">
        <f t="array" ref="D36">IF(ROW(31:31)&lt;=IlośćRat,ROW(31:31),"")</f>
        <v>31</v>
      </c>
      <c r="E36" s="70">
        <f>IFERROR(ROUNDUP(Kredyt1[[#This Row],[Miesiąc kredytu]]/12,0),"")</f>
        <v>3</v>
      </c>
      <c r="F36" s="71">
        <f t="shared" si="0"/>
        <v>45017</v>
      </c>
      <c r="G36" s="72" cm="1">
        <f t="array" ref="G36">IF(Kredyt1[[#This Row],[Data]]="","",WIBOR3M)</f>
        <v>0.02</v>
      </c>
      <c r="H36" s="72" cm="1">
        <f t="array" ref="H36">IF(Kredyt1[[#This Row],[Data]]="","",G36+MarżaBAnku)</f>
        <v>0.04</v>
      </c>
      <c r="I36" s="73">
        <f>IF(Kredyt1[[#This Row],[Data]]="","",Kredyt1[[#This Row],[Cała rata]]-Kredyt1[[#This Row],[Kapitał]])</f>
        <v>1038.8608724358751</v>
      </c>
      <c r="J36" s="74" cm="1">
        <f t="array" ref="J36">IFERROR(-PPMT(Kredyt1[[#This Row],[Oprocentowanie]]/12,Kredyt1[[#This Row],[Miesiąc kredytu]],IlośćRat,KwotaKredytu),"")</f>
        <v>517.18811450943679</v>
      </c>
      <c r="K36" s="75" cm="1">
        <f t="array" ref="K36">IF(Kredyt1[[#This Row],[Miesiąc kredytu]]="","",-PMT(Kredyt1[[#This Row],[Oprocentowanie]]/12,IlośćRat,KwotaKredytu))</f>
        <v>1556.0489869453118</v>
      </c>
      <c r="L36" s="75">
        <v>0</v>
      </c>
      <c r="M36" s="76">
        <f>IFERROR(M35-J36-Kredyt1[[#This Row],[Nadpłata]],"")</f>
        <v>311141.07361625315</v>
      </c>
    </row>
    <row r="37" spans="4:13">
      <c r="D37" s="70" cm="1">
        <f t="array" ref="D37">IF(ROW(32:32)&lt;=IlośćRat,ROW(32:32),"")</f>
        <v>32</v>
      </c>
      <c r="E37" s="70">
        <f>IFERROR(ROUNDUP(Kredyt1[[#This Row],[Miesiąc kredytu]]/12,0),"")</f>
        <v>3</v>
      </c>
      <c r="F37" s="71">
        <f t="shared" si="0"/>
        <v>45047</v>
      </c>
      <c r="G37" s="72" cm="1">
        <f t="array" ref="G37">IF(Kredyt1[[#This Row],[Data]]="","",WIBOR3M)</f>
        <v>0.02</v>
      </c>
      <c r="H37" s="72" cm="1">
        <f t="array" ref="H37">IF(Kredyt1[[#This Row],[Data]]="","",G37+MarżaBAnku)</f>
        <v>0.04</v>
      </c>
      <c r="I37" s="73">
        <f>IF(Kredyt1[[#This Row],[Data]]="","",Kredyt1[[#This Row],[Cała rata]]-Kredyt1[[#This Row],[Kapitał]])</f>
        <v>1037.1369120541769</v>
      </c>
      <c r="J37" s="74" cm="1">
        <f t="array" ref="J37">IFERROR(-PPMT(Kredyt1[[#This Row],[Oprocentowanie]]/12,Kredyt1[[#This Row],[Miesiąc kredytu]],IlośćRat,KwotaKredytu),"")</f>
        <v>518.91207489113481</v>
      </c>
      <c r="K37" s="75" cm="1">
        <f t="array" ref="K37">IF(Kredyt1[[#This Row],[Miesiąc kredytu]]="","",-PMT(Kredyt1[[#This Row],[Oprocentowanie]]/12,IlośćRat,KwotaKredytu))</f>
        <v>1556.0489869453118</v>
      </c>
      <c r="L37" s="75">
        <v>0</v>
      </c>
      <c r="M37" s="76">
        <f>IFERROR(M36-J37-Kredyt1[[#This Row],[Nadpłata]],"")</f>
        <v>310622.161541362</v>
      </c>
    </row>
    <row r="38" spans="4:13">
      <c r="D38" s="70" cm="1">
        <f t="array" ref="D38">IF(ROW(33:33)&lt;=IlośćRat,ROW(33:33),"")</f>
        <v>33</v>
      </c>
      <c r="E38" s="70">
        <f>IFERROR(ROUNDUP(Kredyt1[[#This Row],[Miesiąc kredytu]]/12,0),"")</f>
        <v>3</v>
      </c>
      <c r="F38" s="71">
        <f t="shared" si="0"/>
        <v>45078</v>
      </c>
      <c r="G38" s="72" cm="1">
        <f t="array" ref="G38">IF(Kredyt1[[#This Row],[Data]]="","",WIBOR3M)</f>
        <v>0.02</v>
      </c>
      <c r="H38" s="72" cm="1">
        <f t="array" ref="H38">IF(Kredyt1[[#This Row],[Data]]="","",G38+MarżaBAnku)</f>
        <v>0.04</v>
      </c>
      <c r="I38" s="73">
        <f>IF(Kredyt1[[#This Row],[Data]]="","",Kredyt1[[#This Row],[Cała rata]]-Kredyt1[[#This Row],[Kapitał]])</f>
        <v>1035.407205137873</v>
      </c>
      <c r="J38" s="74" cm="1">
        <f t="array" ref="J38">IFERROR(-PPMT(Kredyt1[[#This Row],[Oprocentowanie]]/12,Kredyt1[[#This Row],[Miesiąc kredytu]],IlośćRat,KwotaKredytu),"")</f>
        <v>520.64178180743863</v>
      </c>
      <c r="K38" s="75" cm="1">
        <f t="array" ref="K38">IF(Kredyt1[[#This Row],[Miesiąc kredytu]]="","",-PMT(Kredyt1[[#This Row],[Oprocentowanie]]/12,IlośćRat,KwotaKredytu))</f>
        <v>1556.0489869453118</v>
      </c>
      <c r="L38" s="75">
        <v>0</v>
      </c>
      <c r="M38" s="76">
        <f>IFERROR(M37-J38-Kredyt1[[#This Row],[Nadpłata]],"")</f>
        <v>310101.51975955459</v>
      </c>
    </row>
    <row r="39" spans="4:13">
      <c r="D39" s="70" cm="1">
        <f t="array" ref="D39">IF(ROW(34:34)&lt;=IlośćRat,ROW(34:34),"")</f>
        <v>34</v>
      </c>
      <c r="E39" s="70">
        <f>IFERROR(ROUNDUP(Kredyt1[[#This Row],[Miesiąc kredytu]]/12,0),"")</f>
        <v>3</v>
      </c>
      <c r="F39" s="71">
        <f t="shared" si="0"/>
        <v>45108</v>
      </c>
      <c r="G39" s="72" cm="1">
        <f t="array" ref="G39">IF(Kredyt1[[#This Row],[Data]]="","",WIBOR3M)</f>
        <v>0.02</v>
      </c>
      <c r="H39" s="72" cm="1">
        <f t="array" ref="H39">IF(Kredyt1[[#This Row],[Data]]="","",G39+MarżaBAnku)</f>
        <v>0.04</v>
      </c>
      <c r="I39" s="73">
        <f>IF(Kredyt1[[#This Row],[Data]]="","",Kredyt1[[#This Row],[Cała rata]]-Kredyt1[[#This Row],[Kapitał]])</f>
        <v>1033.6717325318482</v>
      </c>
      <c r="J39" s="74" cm="1">
        <f t="array" ref="J39">IFERROR(-PPMT(Kredyt1[[#This Row],[Oprocentowanie]]/12,Kredyt1[[#This Row],[Miesiąc kredytu]],IlośćRat,KwotaKredytu),"")</f>
        <v>522.37725441346345</v>
      </c>
      <c r="K39" s="75" cm="1">
        <f t="array" ref="K39">IF(Kredyt1[[#This Row],[Miesiąc kredytu]]="","",-PMT(Kredyt1[[#This Row],[Oprocentowanie]]/12,IlośćRat,KwotaKredytu))</f>
        <v>1556.0489869453118</v>
      </c>
      <c r="L39" s="75">
        <v>0</v>
      </c>
      <c r="M39" s="76">
        <f>IFERROR(M38-J39-Kredyt1[[#This Row],[Nadpłata]],"")</f>
        <v>309579.14250514115</v>
      </c>
    </row>
    <row r="40" spans="4:13">
      <c r="D40" s="70" cm="1">
        <f t="array" ref="D40">IF(ROW(35:35)&lt;=IlośćRat,ROW(35:35),"")</f>
        <v>35</v>
      </c>
      <c r="E40" s="70">
        <f>IFERROR(ROUNDUP(Kredyt1[[#This Row],[Miesiąc kredytu]]/12,0),"")</f>
        <v>3</v>
      </c>
      <c r="F40" s="71">
        <f t="shared" si="0"/>
        <v>45139</v>
      </c>
      <c r="G40" s="72" cm="1">
        <f t="array" ref="G40">IF(Kredyt1[[#This Row],[Data]]="","",WIBOR3M)</f>
        <v>0.02</v>
      </c>
      <c r="H40" s="72" cm="1">
        <f t="array" ref="H40">IF(Kredyt1[[#This Row],[Data]]="","",G40+MarżaBAnku)</f>
        <v>0.04</v>
      </c>
      <c r="I40" s="73">
        <f>IF(Kredyt1[[#This Row],[Data]]="","",Kredyt1[[#This Row],[Cała rata]]-Kredyt1[[#This Row],[Kapitał]])</f>
        <v>1031.9304750171368</v>
      </c>
      <c r="J40" s="74" cm="1">
        <f t="array" ref="J40">IFERROR(-PPMT(Kredyt1[[#This Row],[Oprocentowanie]]/12,Kredyt1[[#This Row],[Miesiąc kredytu]],IlośćRat,KwotaKredytu),"")</f>
        <v>524.11851192817505</v>
      </c>
      <c r="K40" s="75" cm="1">
        <f t="array" ref="K40">IF(Kredyt1[[#This Row],[Miesiąc kredytu]]="","",-PMT(Kredyt1[[#This Row],[Oprocentowanie]]/12,IlośćRat,KwotaKredytu))</f>
        <v>1556.0489869453118</v>
      </c>
      <c r="L40" s="75">
        <v>0</v>
      </c>
      <c r="M40" s="76">
        <f>IFERROR(M39-J40-Kredyt1[[#This Row],[Nadpłata]],"")</f>
        <v>309055.02399321296</v>
      </c>
    </row>
    <row r="41" spans="4:13">
      <c r="D41" s="70" cm="1">
        <f t="array" ref="D41">IF(ROW(36:36)&lt;=IlośćRat,ROW(36:36),"")</f>
        <v>36</v>
      </c>
      <c r="E41" s="70">
        <f>IFERROR(ROUNDUP(Kredyt1[[#This Row],[Miesiąc kredytu]]/12,0),"")</f>
        <v>3</v>
      </c>
      <c r="F41" s="71">
        <f t="shared" si="0"/>
        <v>45170</v>
      </c>
      <c r="G41" s="72" cm="1">
        <f t="array" ref="G41">IF(Kredyt1[[#This Row],[Data]]="","",WIBOR3M)</f>
        <v>0.02</v>
      </c>
      <c r="H41" s="72" cm="1">
        <f t="array" ref="H41">IF(Kredyt1[[#This Row],[Data]]="","",G41+MarżaBAnku)</f>
        <v>0.04</v>
      </c>
      <c r="I41" s="73">
        <f>IF(Kredyt1[[#This Row],[Data]]="","",Kredyt1[[#This Row],[Cała rata]]-Kredyt1[[#This Row],[Kapitał]])</f>
        <v>1030.1834133107095</v>
      </c>
      <c r="J41" s="74" cm="1">
        <f t="array" ref="J41">IFERROR(-PPMT(Kredyt1[[#This Row],[Oprocentowanie]]/12,Kredyt1[[#This Row],[Miesiąc kredytu]],IlośćRat,KwotaKredytu),"")</f>
        <v>525.86557363460224</v>
      </c>
      <c r="K41" s="75" cm="1">
        <f t="array" ref="K41">IF(Kredyt1[[#This Row],[Miesiąc kredytu]]="","",-PMT(Kredyt1[[#This Row],[Oprocentowanie]]/12,IlośćRat,KwotaKredytu))</f>
        <v>1556.0489869453118</v>
      </c>
      <c r="L41" s="75">
        <v>0</v>
      </c>
      <c r="M41" s="76">
        <f>IFERROR(M40-J41-Kredyt1[[#This Row],[Nadpłata]],"")</f>
        <v>308529.15841957834</v>
      </c>
    </row>
    <row r="42" spans="4:13">
      <c r="D42" s="70" cm="1">
        <f t="array" ref="D42">IF(ROW(37:37)&lt;=IlośćRat,ROW(37:37),"")</f>
        <v>37</v>
      </c>
      <c r="E42" s="70">
        <f>IFERROR(ROUNDUP(Kredyt1[[#This Row],[Miesiąc kredytu]]/12,0),"")</f>
        <v>4</v>
      </c>
      <c r="F42" s="71">
        <f t="shared" si="0"/>
        <v>45200</v>
      </c>
      <c r="G42" s="72" cm="1">
        <f t="array" ref="G42">IF(Kredyt1[[#This Row],[Data]]="","",WIBOR3M)</f>
        <v>0.02</v>
      </c>
      <c r="H42" s="72" cm="1">
        <f t="array" ref="H42">IF(Kredyt1[[#This Row],[Data]]="","",G42+MarżaBAnku)</f>
        <v>0.04</v>
      </c>
      <c r="I42" s="73">
        <f>IF(Kredyt1[[#This Row],[Data]]="","",Kredyt1[[#This Row],[Cała rata]]-Kredyt1[[#This Row],[Kapitał]])</f>
        <v>1028.4305280652607</v>
      </c>
      <c r="J42" s="74" cm="1">
        <f t="array" ref="J42">IFERROR(-PPMT(Kredyt1[[#This Row],[Oprocentowanie]]/12,Kredyt1[[#This Row],[Miesiąc kredytu]],IlośćRat,KwotaKredytu),"")</f>
        <v>527.61845888005098</v>
      </c>
      <c r="K42" s="75" cm="1">
        <f t="array" ref="K42">IF(Kredyt1[[#This Row],[Miesiąc kredytu]]="","",-PMT(Kredyt1[[#This Row],[Oprocentowanie]]/12,IlośćRat,KwotaKredytu))</f>
        <v>1556.0489869453118</v>
      </c>
      <c r="L42" s="75">
        <v>0</v>
      </c>
      <c r="M42" s="76">
        <f>IFERROR(M41-J42-Kredyt1[[#This Row],[Nadpłata]],"")</f>
        <v>308001.53996069828</v>
      </c>
    </row>
    <row r="43" spans="4:13">
      <c r="D43" s="70" cm="1">
        <f t="array" ref="D43">IF(ROW(38:38)&lt;=IlośćRat,ROW(38:38),"")</f>
        <v>38</v>
      </c>
      <c r="E43" s="70">
        <f>IFERROR(ROUNDUP(Kredyt1[[#This Row],[Miesiąc kredytu]]/12,0),"")</f>
        <v>4</v>
      </c>
      <c r="F43" s="71">
        <f t="shared" si="0"/>
        <v>45231</v>
      </c>
      <c r="G43" s="72" cm="1">
        <f t="array" ref="G43">IF(Kredyt1[[#This Row],[Data]]="","",WIBOR3M)</f>
        <v>0.02</v>
      </c>
      <c r="H43" s="72" cm="1">
        <f t="array" ref="H43">IF(Kredyt1[[#This Row],[Data]]="","",G43+MarżaBAnku)</f>
        <v>0.04</v>
      </c>
      <c r="I43" s="73">
        <f>IF(Kredyt1[[#This Row],[Data]]="","",Kredyt1[[#This Row],[Cała rata]]-Kredyt1[[#This Row],[Kapitał]])</f>
        <v>1026.6717998689942</v>
      </c>
      <c r="J43" s="74" cm="1">
        <f t="array" ref="J43">IFERROR(-PPMT(Kredyt1[[#This Row],[Oprocentowanie]]/12,Kredyt1[[#This Row],[Miesiąc kredytu]],IlośćRat,KwotaKredytu),"")</f>
        <v>529.37718707631768</v>
      </c>
      <c r="K43" s="75" cm="1">
        <f t="array" ref="K43">IF(Kredyt1[[#This Row],[Miesiąc kredytu]]="","",-PMT(Kredyt1[[#This Row],[Oprocentowanie]]/12,IlośćRat,KwotaKredytu))</f>
        <v>1556.0489869453118</v>
      </c>
      <c r="L43" s="75">
        <v>0</v>
      </c>
      <c r="M43" s="76">
        <f>IFERROR(M42-J43-Kredyt1[[#This Row],[Nadpłata]],"")</f>
        <v>307472.16277362197</v>
      </c>
    </row>
    <row r="44" spans="4:13">
      <c r="D44" s="70" cm="1">
        <f t="array" ref="D44">IF(ROW(39:39)&lt;=IlośćRat,ROW(39:39),"")</f>
        <v>39</v>
      </c>
      <c r="E44" s="70">
        <f>IFERROR(ROUNDUP(Kredyt1[[#This Row],[Miesiąc kredytu]]/12,0),"")</f>
        <v>4</v>
      </c>
      <c r="F44" s="71">
        <f t="shared" si="0"/>
        <v>45261</v>
      </c>
      <c r="G44" s="72" cm="1">
        <f t="array" ref="G44">IF(Kredyt1[[#This Row],[Data]]="","",WIBOR3M)</f>
        <v>0.02</v>
      </c>
      <c r="H44" s="72" cm="1">
        <f t="array" ref="H44">IF(Kredyt1[[#This Row],[Data]]="","",G44+MarżaBAnku)</f>
        <v>0.04</v>
      </c>
      <c r="I44" s="73">
        <f>IF(Kredyt1[[#This Row],[Data]]="","",Kredyt1[[#This Row],[Cała rata]]-Kredyt1[[#This Row],[Kapitał]])</f>
        <v>1024.9072092454062</v>
      </c>
      <c r="J44" s="74" cm="1">
        <f t="array" ref="J44">IFERROR(-PPMT(Kredyt1[[#This Row],[Oprocentowanie]]/12,Kredyt1[[#This Row],[Miesiąc kredytu]],IlośćRat,KwotaKredytu),"")</f>
        <v>531.14177769990545</v>
      </c>
      <c r="K44" s="75" cm="1">
        <f t="array" ref="K44">IF(Kredyt1[[#This Row],[Miesiąc kredytu]]="","",-PMT(Kredyt1[[#This Row],[Oprocentowanie]]/12,IlośćRat,KwotaKredytu))</f>
        <v>1556.0489869453118</v>
      </c>
      <c r="L44" s="75">
        <v>0</v>
      </c>
      <c r="M44" s="76">
        <f>IFERROR(M43-J44-Kredyt1[[#This Row],[Nadpłata]],"")</f>
        <v>306941.02099592204</v>
      </c>
    </row>
    <row r="45" spans="4:13">
      <c r="D45" s="70" cm="1">
        <f t="array" ref="D45">IF(ROW(40:40)&lt;=IlośćRat,ROW(40:40),"")</f>
        <v>40</v>
      </c>
      <c r="E45" s="70">
        <f>IFERROR(ROUNDUP(Kredyt1[[#This Row],[Miesiąc kredytu]]/12,0),"")</f>
        <v>4</v>
      </c>
      <c r="F45" s="71">
        <f t="shared" si="0"/>
        <v>45292</v>
      </c>
      <c r="G45" s="72" cm="1">
        <f t="array" ref="G45">IF(Kredyt1[[#This Row],[Data]]="","",WIBOR3M)</f>
        <v>0.02</v>
      </c>
      <c r="H45" s="72" cm="1">
        <f t="array" ref="H45">IF(Kredyt1[[#This Row],[Data]]="","",G45+MarżaBAnku)</f>
        <v>0.04</v>
      </c>
      <c r="I45" s="73">
        <f>IF(Kredyt1[[#This Row],[Data]]="","",Kredyt1[[#This Row],[Cała rata]]-Kredyt1[[#This Row],[Kapitał]])</f>
        <v>1023.1367366530733</v>
      </c>
      <c r="J45" s="74" cm="1">
        <f t="array" ref="J45">IFERROR(-PPMT(Kredyt1[[#This Row],[Oprocentowanie]]/12,Kredyt1[[#This Row],[Miesiąc kredytu]],IlośćRat,KwotaKredytu),"")</f>
        <v>532.91225029223847</v>
      </c>
      <c r="K45" s="75" cm="1">
        <f t="array" ref="K45">IF(Kredyt1[[#This Row],[Miesiąc kredytu]]="","",-PMT(Kredyt1[[#This Row],[Oprocentowanie]]/12,IlośćRat,KwotaKredytu))</f>
        <v>1556.0489869453118</v>
      </c>
      <c r="L45" s="75">
        <v>0</v>
      </c>
      <c r="M45" s="76">
        <f>IFERROR(M44-J45-Kredyt1[[#This Row],[Nadpłata]],"")</f>
        <v>306408.10874562978</v>
      </c>
    </row>
    <row r="46" spans="4:13">
      <c r="D46" s="70" cm="1">
        <f t="array" ref="D46">IF(ROW(41:41)&lt;=IlośćRat,ROW(41:41),"")</f>
        <v>41</v>
      </c>
      <c r="E46" s="70">
        <f>IFERROR(ROUNDUP(Kredyt1[[#This Row],[Miesiąc kredytu]]/12,0),"")</f>
        <v>4</v>
      </c>
      <c r="F46" s="71">
        <f t="shared" si="0"/>
        <v>45323</v>
      </c>
      <c r="G46" s="72" cm="1">
        <f t="array" ref="G46">IF(Kredyt1[[#This Row],[Data]]="","",WIBOR3M)</f>
        <v>0.02</v>
      </c>
      <c r="H46" s="72" cm="1">
        <f t="array" ref="H46">IF(Kredyt1[[#This Row],[Data]]="","",G46+MarżaBAnku)</f>
        <v>0.04</v>
      </c>
      <c r="I46" s="73">
        <f>IF(Kredyt1[[#This Row],[Data]]="","",Kredyt1[[#This Row],[Cała rata]]-Kredyt1[[#This Row],[Kapitał]])</f>
        <v>1021.3603624854325</v>
      </c>
      <c r="J46" s="74" cm="1">
        <f t="array" ref="J46">IFERROR(-PPMT(Kredyt1[[#This Row],[Oprocentowanie]]/12,Kredyt1[[#This Row],[Miesiąc kredytu]],IlośćRat,KwotaKredytu),"")</f>
        <v>534.68862445987929</v>
      </c>
      <c r="K46" s="75" cm="1">
        <f t="array" ref="K46">IF(Kredyt1[[#This Row],[Miesiąc kredytu]]="","",-PMT(Kredyt1[[#This Row],[Oprocentowanie]]/12,IlośćRat,KwotaKredytu))</f>
        <v>1556.0489869453118</v>
      </c>
      <c r="L46" s="75">
        <v>0</v>
      </c>
      <c r="M46" s="76">
        <f>IFERROR(M45-J46-Kredyt1[[#This Row],[Nadpłata]],"")</f>
        <v>305873.42012116988</v>
      </c>
    </row>
    <row r="47" spans="4:13">
      <c r="D47" s="70" cm="1">
        <f t="array" ref="D47">IF(ROW(42:42)&lt;=IlośćRat,ROW(42:42),"")</f>
        <v>42</v>
      </c>
      <c r="E47" s="70">
        <f>IFERROR(ROUNDUP(Kredyt1[[#This Row],[Miesiąc kredytu]]/12,0),"")</f>
        <v>4</v>
      </c>
      <c r="F47" s="71">
        <f t="shared" si="0"/>
        <v>45352</v>
      </c>
      <c r="G47" s="72" cm="1">
        <f t="array" ref="G47">IF(Kredyt1[[#This Row],[Data]]="","",WIBOR3M)</f>
        <v>0.02</v>
      </c>
      <c r="H47" s="72" cm="1">
        <f t="array" ref="H47">IF(Kredyt1[[#This Row],[Data]]="","",G47+MarżaBAnku)</f>
        <v>0.04</v>
      </c>
      <c r="I47" s="73">
        <f>IF(Kredyt1[[#This Row],[Data]]="","",Kredyt1[[#This Row],[Cała rata]]-Kredyt1[[#This Row],[Kapitał]])</f>
        <v>1019.5780670705662</v>
      </c>
      <c r="J47" s="74" cm="1">
        <f t="array" ref="J47">IFERROR(-PPMT(Kredyt1[[#This Row],[Oprocentowanie]]/12,Kredyt1[[#This Row],[Miesiąc kredytu]],IlośćRat,KwotaKredytu),"")</f>
        <v>536.4709198747455</v>
      </c>
      <c r="K47" s="75" cm="1">
        <f t="array" ref="K47">IF(Kredyt1[[#This Row],[Miesiąc kredytu]]="","",-PMT(Kredyt1[[#This Row],[Oprocentowanie]]/12,IlośćRat,KwotaKredytu))</f>
        <v>1556.0489869453118</v>
      </c>
      <c r="L47" s="75">
        <v>0</v>
      </c>
      <c r="M47" s="76">
        <f>IFERROR(M46-J47-Kredyt1[[#This Row],[Nadpłata]],"")</f>
        <v>305336.94920129515</v>
      </c>
    </row>
    <row r="48" spans="4:13">
      <c r="D48" s="70" cm="1">
        <f t="array" ref="D48">IF(ROW(43:43)&lt;=IlośćRat,ROW(43:43),"")</f>
        <v>43</v>
      </c>
      <c r="E48" s="70">
        <f>IFERROR(ROUNDUP(Kredyt1[[#This Row],[Miesiąc kredytu]]/12,0),"")</f>
        <v>4</v>
      </c>
      <c r="F48" s="71">
        <f t="shared" si="0"/>
        <v>45383</v>
      </c>
      <c r="G48" s="72" cm="1">
        <f t="array" ref="G48">IF(Kredyt1[[#This Row],[Data]]="","",WIBOR3M)</f>
        <v>0.02</v>
      </c>
      <c r="H48" s="72" cm="1">
        <f t="array" ref="H48">IF(Kredyt1[[#This Row],[Data]]="","",G48+MarżaBAnku)</f>
        <v>0.04</v>
      </c>
      <c r="I48" s="73">
        <f>IF(Kredyt1[[#This Row],[Data]]="","",Kredyt1[[#This Row],[Cała rata]]-Kredyt1[[#This Row],[Kapitał]])</f>
        <v>1017.7898306709837</v>
      </c>
      <c r="J48" s="74" cm="1">
        <f t="array" ref="J48">IFERROR(-PPMT(Kredyt1[[#This Row],[Oprocentowanie]]/12,Kredyt1[[#This Row],[Miesiąc kredytu]],IlośćRat,KwotaKredytu),"")</f>
        <v>538.25915627432801</v>
      </c>
      <c r="K48" s="75" cm="1">
        <f t="array" ref="K48">IF(Kredyt1[[#This Row],[Miesiąc kredytu]]="","",-PMT(Kredyt1[[#This Row],[Oprocentowanie]]/12,IlośćRat,KwotaKredytu))</f>
        <v>1556.0489869453118</v>
      </c>
      <c r="L48" s="75">
        <v>0</v>
      </c>
      <c r="M48" s="76">
        <f>IFERROR(M47-J48-Kredyt1[[#This Row],[Nadpłata]],"")</f>
        <v>304798.69004502083</v>
      </c>
    </row>
    <row r="49" spans="4:43">
      <c r="D49" s="70" cm="1">
        <f t="array" ref="D49">IF(ROW(44:44)&lt;=IlośćRat,ROW(44:44),"")</f>
        <v>44</v>
      </c>
      <c r="E49" s="70">
        <f>IFERROR(ROUNDUP(Kredyt1[[#This Row],[Miesiąc kredytu]]/12,0),"")</f>
        <v>4</v>
      </c>
      <c r="F49" s="71">
        <f t="shared" si="0"/>
        <v>45413</v>
      </c>
      <c r="G49" s="72" cm="1">
        <f t="array" ref="G49">IF(Kredyt1[[#This Row],[Data]]="","",WIBOR3M)</f>
        <v>0.02</v>
      </c>
      <c r="H49" s="72" cm="1">
        <f t="array" ref="H49">IF(Kredyt1[[#This Row],[Data]]="","",G49+MarżaBAnku)</f>
        <v>0.04</v>
      </c>
      <c r="I49" s="73">
        <f>IF(Kredyt1[[#This Row],[Data]]="","",Kredyt1[[#This Row],[Cała rata]]-Kredyt1[[#This Row],[Kapitał]])</f>
        <v>1015.9956334834026</v>
      </c>
      <c r="J49" s="74" cm="1">
        <f t="array" ref="J49">IFERROR(-PPMT(Kredyt1[[#This Row],[Oprocentowanie]]/12,Kredyt1[[#This Row],[Miesiąc kredytu]],IlośćRat,KwotaKredytu),"")</f>
        <v>540.05335346190918</v>
      </c>
      <c r="K49" s="75" cm="1">
        <f t="array" ref="K49">IF(Kredyt1[[#This Row],[Miesiąc kredytu]]="","",-PMT(Kredyt1[[#This Row],[Oprocentowanie]]/12,IlośćRat,KwotaKredytu))</f>
        <v>1556.0489869453118</v>
      </c>
      <c r="L49" s="75">
        <v>0</v>
      </c>
      <c r="M49" s="76">
        <f>IFERROR(M48-J49-Kredyt1[[#This Row],[Nadpłata]],"")</f>
        <v>304258.63669155893</v>
      </c>
    </row>
    <row r="50" spans="4:43">
      <c r="D50" s="70" cm="1">
        <f t="array" ref="D50">IF(ROW(45:45)&lt;=IlośćRat,ROW(45:45),"")</f>
        <v>45</v>
      </c>
      <c r="E50" s="70">
        <f>IFERROR(ROUNDUP(Kredyt1[[#This Row],[Miesiąc kredytu]]/12,0),"")</f>
        <v>4</v>
      </c>
      <c r="F50" s="71">
        <f t="shared" si="0"/>
        <v>45444</v>
      </c>
      <c r="G50" s="72" cm="1">
        <f t="array" ref="G50">IF(Kredyt1[[#This Row],[Data]]="","",WIBOR3M)</f>
        <v>0.02</v>
      </c>
      <c r="H50" s="72" cm="1">
        <f t="array" ref="H50">IF(Kredyt1[[#This Row],[Data]]="","",G50+MarżaBAnku)</f>
        <v>0.04</v>
      </c>
      <c r="I50" s="73">
        <f>IF(Kredyt1[[#This Row],[Data]]="","",Kredyt1[[#This Row],[Cała rata]]-Kredyt1[[#This Row],[Kapitał]])</f>
        <v>1014.1954556385297</v>
      </c>
      <c r="J50" s="74" cm="1">
        <f t="array" ref="J50">IFERROR(-PPMT(Kredyt1[[#This Row],[Oprocentowanie]]/12,Kredyt1[[#This Row],[Miesiąc kredytu]],IlośćRat,KwotaKredytu),"")</f>
        <v>541.85353130678209</v>
      </c>
      <c r="K50" s="75" cm="1">
        <f t="array" ref="K50">IF(Kredyt1[[#This Row],[Miesiąc kredytu]]="","",-PMT(Kredyt1[[#This Row],[Oprocentowanie]]/12,IlośćRat,KwotaKredytu))</f>
        <v>1556.0489869453118</v>
      </c>
      <c r="L50" s="75">
        <v>0</v>
      </c>
      <c r="M50" s="76">
        <f>IFERROR(M49-J50-Kredyt1[[#This Row],[Nadpłata]],"")</f>
        <v>303716.78316025215</v>
      </c>
      <c r="AQ50" s="50" t="str" cm="1">
        <f t="array" aca="1" ref="AQ50" ca="1">IFERROR(INDEX(Kredyt!$M:$M,11+Kredyt!D486AP32*12) * UbezŻyć,"")</f>
        <v/>
      </c>
    </row>
    <row r="51" spans="4:43">
      <c r="D51" s="70" cm="1">
        <f t="array" ref="D51">IF(ROW(46:46)&lt;=IlośćRat,ROW(46:46),"")</f>
        <v>46</v>
      </c>
      <c r="E51" s="70">
        <f>IFERROR(ROUNDUP(Kredyt1[[#This Row],[Miesiąc kredytu]]/12,0),"")</f>
        <v>4</v>
      </c>
      <c r="F51" s="71">
        <f t="shared" si="0"/>
        <v>45474</v>
      </c>
      <c r="G51" s="72" cm="1">
        <f t="array" ref="G51">IF(Kredyt1[[#This Row],[Data]]="","",WIBOR3M)</f>
        <v>0.02</v>
      </c>
      <c r="H51" s="72" cm="1">
        <f t="array" ref="H51">IF(Kredyt1[[#This Row],[Data]]="","",G51+MarżaBAnku)</f>
        <v>0.04</v>
      </c>
      <c r="I51" s="73">
        <f>IF(Kredyt1[[#This Row],[Data]]="","",Kredyt1[[#This Row],[Cała rata]]-Kredyt1[[#This Row],[Kapitał]])</f>
        <v>1012.3892772008404</v>
      </c>
      <c r="J51" s="74" cm="1">
        <f t="array" ref="J51">IFERROR(-PPMT(Kredyt1[[#This Row],[Oprocentowanie]]/12,Kredyt1[[#This Row],[Miesiąc kredytu]],IlośćRat,KwotaKredytu),"")</f>
        <v>543.65970974447134</v>
      </c>
      <c r="K51" s="75" cm="1">
        <f t="array" ref="K51">IF(Kredyt1[[#This Row],[Miesiąc kredytu]]="","",-PMT(Kredyt1[[#This Row],[Oprocentowanie]]/12,IlośćRat,KwotaKredytu))</f>
        <v>1556.0489869453118</v>
      </c>
      <c r="L51" s="75">
        <v>0</v>
      </c>
      <c r="M51" s="76">
        <f>IFERROR(M50-J51-Kredyt1[[#This Row],[Nadpłata]],"")</f>
        <v>303173.1234505077</v>
      </c>
    </row>
    <row r="52" spans="4:43">
      <c r="D52" s="70" cm="1">
        <f t="array" ref="D52">IF(ROW(47:47)&lt;=IlośćRat,ROW(47:47),"")</f>
        <v>47</v>
      </c>
      <c r="E52" s="70">
        <f>IFERROR(ROUNDUP(Kredyt1[[#This Row],[Miesiąc kredytu]]/12,0),"")</f>
        <v>4</v>
      </c>
      <c r="F52" s="71">
        <f t="shared" si="0"/>
        <v>45505</v>
      </c>
      <c r="G52" s="72" cm="1">
        <f t="array" ref="G52">IF(Kredyt1[[#This Row],[Data]]="","",WIBOR3M)</f>
        <v>0.02</v>
      </c>
      <c r="H52" s="72" cm="1">
        <f t="array" ref="H52">IF(Kredyt1[[#This Row],[Data]]="","",G52+MarżaBAnku)</f>
        <v>0.04</v>
      </c>
      <c r="I52" s="73">
        <f>IF(Kredyt1[[#This Row],[Data]]="","",Kredyt1[[#This Row],[Cała rata]]-Kredyt1[[#This Row],[Kapitał]])</f>
        <v>1010.5770781683589</v>
      </c>
      <c r="J52" s="74" cm="1">
        <f t="array" ref="J52">IFERROR(-PPMT(Kredyt1[[#This Row],[Oprocentowanie]]/12,Kredyt1[[#This Row],[Miesiąc kredytu]],IlośćRat,KwotaKredytu),"")</f>
        <v>545.47190877695289</v>
      </c>
      <c r="K52" s="75" cm="1">
        <f t="array" ref="K52">IF(Kredyt1[[#This Row],[Miesiąc kredytu]]="","",-PMT(Kredyt1[[#This Row],[Oprocentowanie]]/12,IlośćRat,KwotaKredytu))</f>
        <v>1556.0489869453118</v>
      </c>
      <c r="L52" s="75">
        <v>0</v>
      </c>
      <c r="M52" s="76">
        <f>IFERROR(M51-J52-Kredyt1[[#This Row],[Nadpłata]],"")</f>
        <v>302627.65154173074</v>
      </c>
    </row>
    <row r="53" spans="4:43">
      <c r="D53" s="70" cm="1">
        <f t="array" ref="D53">IF(ROW(48:48)&lt;=IlośćRat,ROW(48:48),"")</f>
        <v>48</v>
      </c>
      <c r="E53" s="70">
        <f>IFERROR(ROUNDUP(Kredyt1[[#This Row],[Miesiąc kredytu]]/12,0),"")</f>
        <v>4</v>
      </c>
      <c r="F53" s="71">
        <f t="shared" si="0"/>
        <v>45536</v>
      </c>
      <c r="G53" s="72" cm="1">
        <f t="array" ref="G53">IF(Kredyt1[[#This Row],[Data]]="","",WIBOR3M)</f>
        <v>0.02</v>
      </c>
      <c r="H53" s="72" cm="1">
        <f t="array" ref="H53">IF(Kredyt1[[#This Row],[Data]]="","",G53+MarżaBAnku)</f>
        <v>0.04</v>
      </c>
      <c r="I53" s="73">
        <f>IF(Kredyt1[[#This Row],[Data]]="","",Kredyt1[[#This Row],[Cała rata]]-Kredyt1[[#This Row],[Kapitał]])</f>
        <v>1008.7588384724356</v>
      </c>
      <c r="J53" s="74" cm="1">
        <f t="array" ref="J53">IFERROR(-PPMT(Kredyt1[[#This Row],[Oprocentowanie]]/12,Kredyt1[[#This Row],[Miesiąc kredytu]],IlośćRat,KwotaKredytu),"")</f>
        <v>547.29014847287613</v>
      </c>
      <c r="K53" s="75" cm="1">
        <f t="array" ref="K53">IF(Kredyt1[[#This Row],[Miesiąc kredytu]]="","",-PMT(Kredyt1[[#This Row],[Oprocentowanie]]/12,IlośćRat,KwotaKredytu))</f>
        <v>1556.0489869453118</v>
      </c>
      <c r="L53" s="75">
        <v>0</v>
      </c>
      <c r="M53" s="76">
        <f>IFERROR(M52-J53-Kredyt1[[#This Row],[Nadpłata]],"")</f>
        <v>302080.36139325786</v>
      </c>
    </row>
    <row r="54" spans="4:43">
      <c r="D54" s="70" cm="1">
        <f t="array" ref="D54">IF(ROW(49:49)&lt;=IlośćRat,ROW(49:49),"")</f>
        <v>49</v>
      </c>
      <c r="E54" s="70">
        <f>IFERROR(ROUNDUP(Kredyt1[[#This Row],[Miesiąc kredytu]]/12,0),"")</f>
        <v>5</v>
      </c>
      <c r="F54" s="71">
        <f t="shared" si="0"/>
        <v>45566</v>
      </c>
      <c r="G54" s="72" cm="1">
        <f t="array" ref="G54">IF(Kredyt1[[#This Row],[Data]]="","",WIBOR3M)</f>
        <v>0.02</v>
      </c>
      <c r="H54" s="72" cm="1">
        <f t="array" ref="H54">IF(Kredyt1[[#This Row],[Data]]="","",G54+MarżaBAnku)</f>
        <v>0.04</v>
      </c>
      <c r="I54" s="73">
        <f>IF(Kredyt1[[#This Row],[Data]]="","",Kredyt1[[#This Row],[Cała rata]]-Kredyt1[[#This Row],[Kapitał]])</f>
        <v>1006.9345379775259</v>
      </c>
      <c r="J54" s="74" cm="1">
        <f t="array" ref="J54">IFERROR(-PPMT(Kredyt1[[#This Row],[Oprocentowanie]]/12,Kredyt1[[#This Row],[Miesiąc kredytu]],IlośćRat,KwotaKredytu),"")</f>
        <v>549.11444896778585</v>
      </c>
      <c r="K54" s="75" cm="1">
        <f t="array" ref="K54">IF(Kredyt1[[#This Row],[Miesiąc kredytu]]="","",-PMT(Kredyt1[[#This Row],[Oprocentowanie]]/12,IlośćRat,KwotaKredytu))</f>
        <v>1556.0489869453118</v>
      </c>
      <c r="L54" s="75">
        <v>0</v>
      </c>
      <c r="M54" s="76">
        <f>IFERROR(M53-J54-Kredyt1[[#This Row],[Nadpłata]],"")</f>
        <v>301531.24694429006</v>
      </c>
    </row>
    <row r="55" spans="4:43">
      <c r="D55" s="70" cm="1">
        <f t="array" ref="D55">IF(ROW(50:50)&lt;=IlośćRat,ROW(50:50),"")</f>
        <v>50</v>
      </c>
      <c r="E55" s="70">
        <f>IFERROR(ROUNDUP(Kredyt1[[#This Row],[Miesiąc kredytu]]/12,0),"")</f>
        <v>5</v>
      </c>
      <c r="F55" s="71">
        <f t="shared" si="0"/>
        <v>45597</v>
      </c>
      <c r="G55" s="72" cm="1">
        <f t="array" ref="G55">IF(Kredyt1[[#This Row],[Data]]="","",WIBOR3M)</f>
        <v>0.02</v>
      </c>
      <c r="H55" s="72" cm="1">
        <f t="array" ref="H55">IF(Kredyt1[[#This Row],[Data]]="","",G55+MarżaBAnku)</f>
        <v>0.04</v>
      </c>
      <c r="I55" s="73">
        <f>IF(Kredyt1[[#This Row],[Data]]="","",Kredyt1[[#This Row],[Cała rata]]-Kredyt1[[#This Row],[Kapitał]])</f>
        <v>1005.1041564809667</v>
      </c>
      <c r="J55" s="74" cm="1">
        <f t="array" ref="J55">IFERROR(-PPMT(Kredyt1[[#This Row],[Oprocentowanie]]/12,Kredyt1[[#This Row],[Miesiąc kredytu]],IlośćRat,KwotaKredytu),"")</f>
        <v>550.94483046434505</v>
      </c>
      <c r="K55" s="75" cm="1">
        <f t="array" ref="K55">IF(Kredyt1[[#This Row],[Miesiąc kredytu]]="","",-PMT(Kredyt1[[#This Row],[Oprocentowanie]]/12,IlośćRat,KwotaKredytu))</f>
        <v>1556.0489869453118</v>
      </c>
      <c r="L55" s="75">
        <v>0</v>
      </c>
      <c r="M55" s="76">
        <f>IFERROR(M54-J55-Kredyt1[[#This Row],[Nadpłata]],"")</f>
        <v>300980.30211382569</v>
      </c>
    </row>
    <row r="56" spans="4:43">
      <c r="D56" s="70" cm="1">
        <f t="array" ref="D56">IF(ROW(51:51)&lt;=IlośćRat,ROW(51:51),"")</f>
        <v>51</v>
      </c>
      <c r="E56" s="70">
        <f>IFERROR(ROUNDUP(Kredyt1[[#This Row],[Miesiąc kredytu]]/12,0),"")</f>
        <v>5</v>
      </c>
      <c r="F56" s="71">
        <f t="shared" si="0"/>
        <v>45627</v>
      </c>
      <c r="G56" s="72" cm="1">
        <f t="array" ref="G56">IF(Kredyt1[[#This Row],[Data]]="","",WIBOR3M)</f>
        <v>0.02</v>
      </c>
      <c r="H56" s="72" cm="1">
        <f t="array" ref="H56">IF(Kredyt1[[#This Row],[Data]]="","",G56+MarżaBAnku)</f>
        <v>0.04</v>
      </c>
      <c r="I56" s="73">
        <f>IF(Kredyt1[[#This Row],[Data]]="","",Kredyt1[[#This Row],[Cała rata]]-Kredyt1[[#This Row],[Kapitał]])</f>
        <v>1003.2676737127522</v>
      </c>
      <c r="J56" s="74" cm="1">
        <f t="array" ref="J56">IFERROR(-PPMT(Kredyt1[[#This Row],[Oprocentowanie]]/12,Kredyt1[[#This Row],[Miesiąc kredytu]],IlośćRat,KwotaKredytu),"")</f>
        <v>552.78131323255957</v>
      </c>
      <c r="K56" s="75" cm="1">
        <f t="array" ref="K56">IF(Kredyt1[[#This Row],[Miesiąc kredytu]]="","",-PMT(Kredyt1[[#This Row],[Oprocentowanie]]/12,IlośćRat,KwotaKredytu))</f>
        <v>1556.0489869453118</v>
      </c>
      <c r="L56" s="75">
        <v>0</v>
      </c>
      <c r="M56" s="76">
        <f>IFERROR(M55-J56-Kredyt1[[#This Row],[Nadpłata]],"")</f>
        <v>300427.52080059313</v>
      </c>
    </row>
    <row r="57" spans="4:43">
      <c r="D57" s="70" cm="1">
        <f t="array" ref="D57">IF(ROW(52:52)&lt;=IlośćRat,ROW(52:52),"")</f>
        <v>52</v>
      </c>
      <c r="E57" s="70">
        <f>IFERROR(ROUNDUP(Kredyt1[[#This Row],[Miesiąc kredytu]]/12,0),"")</f>
        <v>5</v>
      </c>
      <c r="F57" s="71">
        <f t="shared" si="0"/>
        <v>45658</v>
      </c>
      <c r="G57" s="72" cm="1">
        <f t="array" ref="G57">IF(Kredyt1[[#This Row],[Data]]="","",WIBOR3M)</f>
        <v>0.02</v>
      </c>
      <c r="H57" s="72" cm="1">
        <f t="array" ref="H57">IF(Kredyt1[[#This Row],[Data]]="","",G57+MarżaBAnku)</f>
        <v>0.04</v>
      </c>
      <c r="I57" s="73">
        <f>IF(Kredyt1[[#This Row],[Data]]="","",Kredyt1[[#This Row],[Cała rata]]-Kredyt1[[#This Row],[Kapitał]])</f>
        <v>1001.4250693353104</v>
      </c>
      <c r="J57" s="74" cm="1">
        <f t="array" ref="J57">IFERROR(-PPMT(Kredyt1[[#This Row],[Oprocentowanie]]/12,Kredyt1[[#This Row],[Miesiąc kredytu]],IlośćRat,KwotaKredytu),"")</f>
        <v>554.6239176100014</v>
      </c>
      <c r="K57" s="75" cm="1">
        <f t="array" ref="K57">IF(Kredyt1[[#This Row],[Miesiąc kredytu]]="","",-PMT(Kredyt1[[#This Row],[Oprocentowanie]]/12,IlośćRat,KwotaKredytu))</f>
        <v>1556.0489869453118</v>
      </c>
      <c r="L57" s="75">
        <v>0</v>
      </c>
      <c r="M57" s="76">
        <f>IFERROR(M56-J57-Kredyt1[[#This Row],[Nadpłata]],"")</f>
        <v>299872.89688298316</v>
      </c>
    </row>
    <row r="58" spans="4:43">
      <c r="D58" s="70" cm="1">
        <f t="array" ref="D58">IF(ROW(53:53)&lt;=IlośćRat,ROW(53:53),"")</f>
        <v>53</v>
      </c>
      <c r="E58" s="70">
        <f>IFERROR(ROUNDUP(Kredyt1[[#This Row],[Miesiąc kredytu]]/12,0),"")</f>
        <v>5</v>
      </c>
      <c r="F58" s="71">
        <f t="shared" si="0"/>
        <v>45689</v>
      </c>
      <c r="G58" s="72" cm="1">
        <f t="array" ref="G58">IF(Kredyt1[[#This Row],[Data]]="","",WIBOR3M)</f>
        <v>0.02</v>
      </c>
      <c r="H58" s="72" cm="1">
        <f t="array" ref="H58">IF(Kredyt1[[#This Row],[Data]]="","",G58+MarżaBAnku)</f>
        <v>0.04</v>
      </c>
      <c r="I58" s="73">
        <f>IF(Kredyt1[[#This Row],[Data]]="","",Kredyt1[[#This Row],[Cała rata]]-Kredyt1[[#This Row],[Kapitał]])</f>
        <v>999.57632294327709</v>
      </c>
      <c r="J58" s="74" cm="1">
        <f t="array" ref="J58">IFERROR(-PPMT(Kredyt1[[#This Row],[Oprocentowanie]]/12,Kredyt1[[#This Row],[Miesiąc kredytu]],IlośćRat,KwotaKredytu),"")</f>
        <v>556.47266400203466</v>
      </c>
      <c r="K58" s="75" cm="1">
        <f t="array" ref="K58">IF(Kredyt1[[#This Row],[Miesiąc kredytu]]="","",-PMT(Kredyt1[[#This Row],[Oprocentowanie]]/12,IlośćRat,KwotaKredytu))</f>
        <v>1556.0489869453118</v>
      </c>
      <c r="L58" s="75">
        <v>0</v>
      </c>
      <c r="M58" s="76">
        <f>IFERROR(M57-J58-Kredyt1[[#This Row],[Nadpłata]],"")</f>
        <v>299316.42421898112</v>
      </c>
    </row>
    <row r="59" spans="4:43">
      <c r="D59" s="70" cm="1">
        <f t="array" ref="D59">IF(ROW(54:54)&lt;=IlośćRat,ROW(54:54),"")</f>
        <v>54</v>
      </c>
      <c r="E59" s="70">
        <f>IFERROR(ROUNDUP(Kredyt1[[#This Row],[Miesiąc kredytu]]/12,0),"")</f>
        <v>5</v>
      </c>
      <c r="F59" s="71">
        <f t="shared" si="0"/>
        <v>45717</v>
      </c>
      <c r="G59" s="72" cm="1">
        <f t="array" ref="G59">IF(Kredyt1[[#This Row],[Data]]="","",WIBOR3M)</f>
        <v>0.02</v>
      </c>
      <c r="H59" s="72" cm="1">
        <f t="array" ref="H59">IF(Kredyt1[[#This Row],[Data]]="","",G59+MarżaBAnku)</f>
        <v>0.04</v>
      </c>
      <c r="I59" s="73">
        <f>IF(Kredyt1[[#This Row],[Data]]="","",Kredyt1[[#This Row],[Cała rata]]-Kredyt1[[#This Row],[Kapitał]])</f>
        <v>997.72141406327023</v>
      </c>
      <c r="J59" s="74" cm="1">
        <f t="array" ref="J59">IFERROR(-PPMT(Kredyt1[[#This Row],[Oprocentowanie]]/12,Kredyt1[[#This Row],[Miesiąc kredytu]],IlośćRat,KwotaKredytu),"")</f>
        <v>558.32757288204152</v>
      </c>
      <c r="K59" s="75" cm="1">
        <f t="array" ref="K59">IF(Kredyt1[[#This Row],[Miesiąc kredytu]]="","",-PMT(Kredyt1[[#This Row],[Oprocentowanie]]/12,IlośćRat,KwotaKredytu))</f>
        <v>1556.0489869453118</v>
      </c>
      <c r="L59" s="75">
        <v>0</v>
      </c>
      <c r="M59" s="76">
        <f>IFERROR(M58-J59-Kredyt1[[#This Row],[Nadpłata]],"")</f>
        <v>298758.09664609906</v>
      </c>
    </row>
    <row r="60" spans="4:43">
      <c r="D60" s="70" cm="1">
        <f t="array" ref="D60">IF(ROW(55:55)&lt;=IlośćRat,ROW(55:55),"")</f>
        <v>55</v>
      </c>
      <c r="E60" s="70">
        <f>IFERROR(ROUNDUP(Kredyt1[[#This Row],[Miesiąc kredytu]]/12,0),"")</f>
        <v>5</v>
      </c>
      <c r="F60" s="71">
        <f t="shared" si="0"/>
        <v>45748</v>
      </c>
      <c r="G60" s="72" cm="1">
        <f t="array" ref="G60">IF(Kredyt1[[#This Row],[Data]]="","",WIBOR3M)</f>
        <v>0.02</v>
      </c>
      <c r="H60" s="72" cm="1">
        <f t="array" ref="H60">IF(Kredyt1[[#This Row],[Data]]="","",G60+MarżaBAnku)</f>
        <v>0.04</v>
      </c>
      <c r="I60" s="73">
        <f>IF(Kredyt1[[#This Row],[Data]]="","",Kredyt1[[#This Row],[Cała rata]]-Kredyt1[[#This Row],[Kapitał]])</f>
        <v>995.86032215366345</v>
      </c>
      <c r="J60" s="74" cm="1">
        <f t="array" ref="J60">IFERROR(-PPMT(Kredyt1[[#This Row],[Oprocentowanie]]/12,Kredyt1[[#This Row],[Miesiąc kredytu]],IlośćRat,KwotaKredytu),"")</f>
        <v>560.18866479164831</v>
      </c>
      <c r="K60" s="75" cm="1">
        <f t="array" ref="K60">IF(Kredyt1[[#This Row],[Miesiąc kredytu]]="","",-PMT(Kredyt1[[#This Row],[Oprocentowanie]]/12,IlośćRat,KwotaKredytu))</f>
        <v>1556.0489869453118</v>
      </c>
      <c r="L60" s="75">
        <v>0</v>
      </c>
      <c r="M60" s="76">
        <f>IFERROR(M59-J60-Kredyt1[[#This Row],[Nadpłata]],"")</f>
        <v>298197.90798130742</v>
      </c>
    </row>
    <row r="61" spans="4:43">
      <c r="D61" s="70" cm="1">
        <f t="array" ref="D61">IF(ROW(56:56)&lt;=IlośćRat,ROW(56:56),"")</f>
        <v>56</v>
      </c>
      <c r="E61" s="70">
        <f>IFERROR(ROUNDUP(Kredyt1[[#This Row],[Miesiąc kredytu]]/12,0),"")</f>
        <v>5</v>
      </c>
      <c r="F61" s="71">
        <f t="shared" si="0"/>
        <v>45778</v>
      </c>
      <c r="G61" s="72" cm="1">
        <f t="array" ref="G61">IF(Kredyt1[[#This Row],[Data]]="","",WIBOR3M)</f>
        <v>0.02</v>
      </c>
      <c r="H61" s="72" cm="1">
        <f t="array" ref="H61">IF(Kredyt1[[#This Row],[Data]]="","",G61+MarżaBAnku)</f>
        <v>0.04</v>
      </c>
      <c r="I61" s="73">
        <f>IF(Kredyt1[[#This Row],[Data]]="","",Kredyt1[[#This Row],[Cała rata]]-Kredyt1[[#This Row],[Kapitał]])</f>
        <v>993.99302660435796</v>
      </c>
      <c r="J61" s="74" cm="1">
        <f t="array" ref="J61">IFERROR(-PPMT(Kredyt1[[#This Row],[Oprocentowanie]]/12,Kredyt1[[#This Row],[Miesiąc kredytu]],IlośćRat,KwotaKredytu),"")</f>
        <v>562.05596034095379</v>
      </c>
      <c r="K61" s="75" cm="1">
        <f t="array" ref="K61">IF(Kredyt1[[#This Row],[Miesiąc kredytu]]="","",-PMT(Kredyt1[[#This Row],[Oprocentowanie]]/12,IlośćRat,KwotaKredytu))</f>
        <v>1556.0489869453118</v>
      </c>
      <c r="L61" s="75">
        <v>0</v>
      </c>
      <c r="M61" s="76">
        <f>IFERROR(M60-J61-Kredyt1[[#This Row],[Nadpłata]],"")</f>
        <v>297635.85202096647</v>
      </c>
    </row>
    <row r="62" spans="4:43">
      <c r="D62" s="70" cm="1">
        <f t="array" ref="D62">IF(ROW(57:57)&lt;=IlośćRat,ROW(57:57),"")</f>
        <v>57</v>
      </c>
      <c r="E62" s="70">
        <f>IFERROR(ROUNDUP(Kredyt1[[#This Row],[Miesiąc kredytu]]/12,0),"")</f>
        <v>5</v>
      </c>
      <c r="F62" s="71">
        <f t="shared" si="0"/>
        <v>45809</v>
      </c>
      <c r="G62" s="72" cm="1">
        <f t="array" ref="G62">IF(Kredyt1[[#This Row],[Data]]="","",WIBOR3M)</f>
        <v>0.02</v>
      </c>
      <c r="H62" s="72" cm="1">
        <f t="array" ref="H62">IF(Kredyt1[[#This Row],[Data]]="","",G62+MarżaBAnku)</f>
        <v>0.04</v>
      </c>
      <c r="I62" s="73">
        <f>IF(Kredyt1[[#This Row],[Data]]="","",Kredyt1[[#This Row],[Cała rata]]-Kredyt1[[#This Row],[Kapitał]])</f>
        <v>992.11950673655474</v>
      </c>
      <c r="J62" s="74" cm="1">
        <f t="array" ref="J62">IFERROR(-PPMT(Kredyt1[[#This Row],[Oprocentowanie]]/12,Kredyt1[[#This Row],[Miesiąc kredytu]],IlośćRat,KwotaKredytu),"")</f>
        <v>563.92948020875701</v>
      </c>
      <c r="K62" s="75" cm="1">
        <f t="array" ref="K62">IF(Kredyt1[[#This Row],[Miesiąc kredytu]]="","",-PMT(Kredyt1[[#This Row],[Oprocentowanie]]/12,IlośćRat,KwotaKredytu))</f>
        <v>1556.0489869453118</v>
      </c>
      <c r="L62" s="75">
        <v>0</v>
      </c>
      <c r="M62" s="76">
        <f>IFERROR(M61-J62-Kredyt1[[#This Row],[Nadpłata]],"")</f>
        <v>297071.92254075769</v>
      </c>
    </row>
    <row r="63" spans="4:43">
      <c r="D63" s="70" cm="1">
        <f t="array" ref="D63">IF(ROW(58:58)&lt;=IlośćRat,ROW(58:58),"")</f>
        <v>58</v>
      </c>
      <c r="E63" s="70">
        <f>IFERROR(ROUNDUP(Kredyt1[[#This Row],[Miesiąc kredytu]]/12,0),"")</f>
        <v>5</v>
      </c>
      <c r="F63" s="71">
        <f t="shared" si="0"/>
        <v>45839</v>
      </c>
      <c r="G63" s="72" cm="1">
        <f t="array" ref="G63">IF(Kredyt1[[#This Row],[Data]]="","",WIBOR3M)</f>
        <v>0.02</v>
      </c>
      <c r="H63" s="72" cm="1">
        <f t="array" ref="H63">IF(Kredyt1[[#This Row],[Data]]="","",G63+MarżaBAnku)</f>
        <v>0.04</v>
      </c>
      <c r="I63" s="73">
        <f>IF(Kredyt1[[#This Row],[Data]]="","",Kredyt1[[#This Row],[Cała rata]]-Kredyt1[[#This Row],[Kapitał]])</f>
        <v>990.23974180252549</v>
      </c>
      <c r="J63" s="74" cm="1">
        <f t="array" ref="J63">IFERROR(-PPMT(Kredyt1[[#This Row],[Oprocentowanie]]/12,Kredyt1[[#This Row],[Miesiąc kredytu]],IlośćRat,KwotaKredytu),"")</f>
        <v>565.80924514278627</v>
      </c>
      <c r="K63" s="75" cm="1">
        <f t="array" ref="K63">IF(Kredyt1[[#This Row],[Miesiąc kredytu]]="","",-PMT(Kredyt1[[#This Row],[Oprocentowanie]]/12,IlośćRat,KwotaKredytu))</f>
        <v>1556.0489869453118</v>
      </c>
      <c r="L63" s="75">
        <v>0</v>
      </c>
      <c r="M63" s="76">
        <f>IFERROR(M62-J63-Kredyt1[[#This Row],[Nadpłata]],"")</f>
        <v>296506.11329561489</v>
      </c>
    </row>
    <row r="64" spans="4:43">
      <c r="D64" s="70" cm="1">
        <f t="array" ref="D64">IF(ROW(59:59)&lt;=IlośćRat,ROW(59:59),"")</f>
        <v>59</v>
      </c>
      <c r="E64" s="70">
        <f>IFERROR(ROUNDUP(Kredyt1[[#This Row],[Miesiąc kredytu]]/12,0),"")</f>
        <v>5</v>
      </c>
      <c r="F64" s="71">
        <f t="shared" si="0"/>
        <v>45870</v>
      </c>
      <c r="G64" s="72" cm="1">
        <f t="array" ref="G64">IF(Kredyt1[[#This Row],[Data]]="","",WIBOR3M)</f>
        <v>0.02</v>
      </c>
      <c r="H64" s="72" cm="1">
        <f t="array" ref="H64">IF(Kredyt1[[#This Row],[Data]]="","",G64+MarżaBAnku)</f>
        <v>0.04</v>
      </c>
      <c r="I64" s="73">
        <f>IF(Kredyt1[[#This Row],[Data]]="","",Kredyt1[[#This Row],[Cała rata]]-Kredyt1[[#This Row],[Kapitał]])</f>
        <v>988.35371098538292</v>
      </c>
      <c r="J64" s="74" cm="1">
        <f t="array" ref="J64">IFERROR(-PPMT(Kredyt1[[#This Row],[Oprocentowanie]]/12,Kredyt1[[#This Row],[Miesiąc kredytu]],IlośćRat,KwotaKredytu),"")</f>
        <v>567.69527595992884</v>
      </c>
      <c r="K64" s="75" cm="1">
        <f t="array" ref="K64">IF(Kredyt1[[#This Row],[Miesiąc kredytu]]="","",-PMT(Kredyt1[[#This Row],[Oprocentowanie]]/12,IlośćRat,KwotaKredytu))</f>
        <v>1556.0489869453118</v>
      </c>
      <c r="L64" s="75">
        <v>0</v>
      </c>
      <c r="M64" s="76">
        <f>IFERROR(M63-J64-Kredyt1[[#This Row],[Nadpłata]],"")</f>
        <v>295938.41801965499</v>
      </c>
    </row>
    <row r="65" spans="4:13">
      <c r="D65" s="70" cm="1">
        <f t="array" ref="D65">IF(ROW(60:60)&lt;=IlośćRat,ROW(60:60),"")</f>
        <v>60</v>
      </c>
      <c r="E65" s="70">
        <f>IFERROR(ROUNDUP(Kredyt1[[#This Row],[Miesiąc kredytu]]/12,0),"")</f>
        <v>5</v>
      </c>
      <c r="F65" s="71">
        <f t="shared" si="0"/>
        <v>45901</v>
      </c>
      <c r="G65" s="72" cm="1">
        <f t="array" ref="G65">IF(Kredyt1[[#This Row],[Data]]="","",WIBOR3M)</f>
        <v>0.02</v>
      </c>
      <c r="H65" s="72" cm="1">
        <f t="array" ref="H65">IF(Kredyt1[[#This Row],[Data]]="","",G65+MarżaBAnku)</f>
        <v>0.04</v>
      </c>
      <c r="I65" s="73">
        <f>IF(Kredyt1[[#This Row],[Data]]="","",Kredyt1[[#This Row],[Cała rata]]-Kredyt1[[#This Row],[Kapitał]])</f>
        <v>986.46139339884985</v>
      </c>
      <c r="J65" s="74" cm="1">
        <f t="array" ref="J65">IFERROR(-PPMT(Kredyt1[[#This Row],[Oprocentowanie]]/12,Kredyt1[[#This Row],[Miesiąc kredytu]],IlośćRat,KwotaKredytu),"")</f>
        <v>569.5875935464619</v>
      </c>
      <c r="K65" s="75" cm="1">
        <f t="array" ref="K65">IF(Kredyt1[[#This Row],[Miesiąc kredytu]]="","",-PMT(Kredyt1[[#This Row],[Oprocentowanie]]/12,IlośćRat,KwotaKredytu))</f>
        <v>1556.0489869453118</v>
      </c>
      <c r="L65" s="75">
        <v>0</v>
      </c>
      <c r="M65" s="76">
        <f>IFERROR(M64-J65-Kredyt1[[#This Row],[Nadpłata]],"")</f>
        <v>295368.8304261085</v>
      </c>
    </row>
    <row r="66" spans="4:13">
      <c r="D66" s="70" cm="1">
        <f t="array" ref="D66">IF(ROW(61:61)&lt;=IlośćRat,ROW(61:61),"")</f>
        <v>61</v>
      </c>
      <c r="E66" s="70">
        <f>IFERROR(ROUNDUP(Kredyt1[[#This Row],[Miesiąc kredytu]]/12,0),"")</f>
        <v>6</v>
      </c>
      <c r="F66" s="71">
        <f t="shared" si="0"/>
        <v>45931</v>
      </c>
      <c r="G66" s="72" cm="1">
        <f t="array" ref="G66">IF(Kredyt1[[#This Row],[Data]]="","",WIBOR3M)</f>
        <v>0.02</v>
      </c>
      <c r="H66" s="72" cm="1">
        <f t="array" ref="H66">IF(Kredyt1[[#This Row],[Data]]="","",G66+MarżaBAnku)</f>
        <v>0.04</v>
      </c>
      <c r="I66" s="73">
        <f>IF(Kredyt1[[#This Row],[Data]]="","",Kredyt1[[#This Row],[Cała rata]]-Kredyt1[[#This Row],[Kapitał]])</f>
        <v>984.56276808702842</v>
      </c>
      <c r="J66" s="74" cm="1">
        <f t="array" ref="J66">IFERROR(-PPMT(Kredyt1[[#This Row],[Oprocentowanie]]/12,Kredyt1[[#This Row],[Miesiąc kredytu]],IlośćRat,KwotaKredytu),"")</f>
        <v>571.48621885828334</v>
      </c>
      <c r="K66" s="75" cm="1">
        <f t="array" ref="K66">IF(Kredyt1[[#This Row],[Miesiąc kredytu]]="","",-PMT(Kredyt1[[#This Row],[Oprocentowanie]]/12,IlośćRat,KwotaKredytu))</f>
        <v>1556.0489869453118</v>
      </c>
      <c r="L66" s="75">
        <v>0</v>
      </c>
      <c r="M66" s="76">
        <f>IFERROR(M65-J66-Kredyt1[[#This Row],[Nadpłata]],"")</f>
        <v>294797.34420725022</v>
      </c>
    </row>
    <row r="67" spans="4:13">
      <c r="D67" s="70" cm="1">
        <f t="array" ref="D67">IF(ROW(62:62)&lt;=IlośćRat,ROW(62:62),"")</f>
        <v>62</v>
      </c>
      <c r="E67" s="70">
        <f>IFERROR(ROUNDUP(Kredyt1[[#This Row],[Miesiąc kredytu]]/12,0),"")</f>
        <v>6</v>
      </c>
      <c r="F67" s="71">
        <f t="shared" si="0"/>
        <v>45962</v>
      </c>
      <c r="G67" s="72" cm="1">
        <f t="array" ref="G67">IF(Kredyt1[[#This Row],[Data]]="","",WIBOR3M)</f>
        <v>0.02</v>
      </c>
      <c r="H67" s="72" cm="1">
        <f t="array" ref="H67">IF(Kredyt1[[#This Row],[Data]]="","",G67+MarżaBAnku)</f>
        <v>0.04</v>
      </c>
      <c r="I67" s="73">
        <f>IF(Kredyt1[[#This Row],[Data]]="","",Kredyt1[[#This Row],[Cała rata]]-Kredyt1[[#This Row],[Kapitał]])</f>
        <v>982.65781402416724</v>
      </c>
      <c r="J67" s="74" cm="1">
        <f t="array" ref="J67">IFERROR(-PPMT(Kredyt1[[#This Row],[Oprocentowanie]]/12,Kredyt1[[#This Row],[Miesiąc kredytu]],IlośćRat,KwotaKredytu),"")</f>
        <v>573.39117292114452</v>
      </c>
      <c r="K67" s="75" cm="1">
        <f t="array" ref="K67">IF(Kredyt1[[#This Row],[Miesiąc kredytu]]="","",-PMT(Kredyt1[[#This Row],[Oprocentowanie]]/12,IlośćRat,KwotaKredytu))</f>
        <v>1556.0489869453118</v>
      </c>
      <c r="L67" s="75">
        <v>0</v>
      </c>
      <c r="M67" s="76">
        <f>IFERROR(M66-J67-Kredyt1[[#This Row],[Nadpłata]],"")</f>
        <v>294223.95303432905</v>
      </c>
    </row>
    <row r="68" spans="4:13">
      <c r="D68" s="70" cm="1">
        <f t="array" ref="D68">IF(ROW(63:63)&lt;=IlośćRat,ROW(63:63),"")</f>
        <v>63</v>
      </c>
      <c r="E68" s="70">
        <f>IFERROR(ROUNDUP(Kredyt1[[#This Row],[Miesiąc kredytu]]/12,0),"")</f>
        <v>6</v>
      </c>
      <c r="F68" s="71">
        <f t="shared" si="0"/>
        <v>45992</v>
      </c>
      <c r="G68" s="72" cm="1">
        <f t="array" ref="G68">IF(Kredyt1[[#This Row],[Data]]="","",WIBOR3M)</f>
        <v>0.02</v>
      </c>
      <c r="H68" s="72" cm="1">
        <f t="array" ref="H68">IF(Kredyt1[[#This Row],[Data]]="","",G68+MarżaBAnku)</f>
        <v>0.04</v>
      </c>
      <c r="I68" s="73">
        <f>IF(Kredyt1[[#This Row],[Data]]="","",Kredyt1[[#This Row],[Cała rata]]-Kredyt1[[#This Row],[Kapitał]])</f>
        <v>980.74651011443018</v>
      </c>
      <c r="J68" s="74" cm="1">
        <f t="array" ref="J68">IFERROR(-PPMT(Kredyt1[[#This Row],[Oprocentowanie]]/12,Kredyt1[[#This Row],[Miesiąc kredytu]],IlośćRat,KwotaKredytu),"")</f>
        <v>575.30247683088157</v>
      </c>
      <c r="K68" s="75" cm="1">
        <f t="array" ref="K68">IF(Kredyt1[[#This Row],[Miesiąc kredytu]]="","",-PMT(Kredyt1[[#This Row],[Oprocentowanie]]/12,IlośćRat,KwotaKredytu))</f>
        <v>1556.0489869453118</v>
      </c>
      <c r="L68" s="75">
        <v>0</v>
      </c>
      <c r="M68" s="76">
        <f>IFERROR(M67-J68-Kredyt1[[#This Row],[Nadpłata]],"")</f>
        <v>293648.65055749816</v>
      </c>
    </row>
    <row r="69" spans="4:13">
      <c r="D69" s="70" cm="1">
        <f t="array" ref="D69">IF(ROW(64:64)&lt;=IlośćRat,ROW(64:64),"")</f>
        <v>64</v>
      </c>
      <c r="E69" s="70">
        <f>IFERROR(ROUNDUP(Kredyt1[[#This Row],[Miesiąc kredytu]]/12,0),"")</f>
        <v>6</v>
      </c>
      <c r="F69" s="71">
        <f t="shared" si="0"/>
        <v>46023</v>
      </c>
      <c r="G69" s="72" cm="1">
        <f t="array" ref="G69">IF(Kredyt1[[#This Row],[Data]]="","",WIBOR3M)</f>
        <v>0.02</v>
      </c>
      <c r="H69" s="72" cm="1">
        <f t="array" ref="H69">IF(Kredyt1[[#This Row],[Data]]="","",G69+MarżaBAnku)</f>
        <v>0.04</v>
      </c>
      <c r="I69" s="73">
        <f>IF(Kredyt1[[#This Row],[Data]]="","",Kredyt1[[#This Row],[Cała rata]]-Kredyt1[[#This Row],[Kapitał]])</f>
        <v>978.82883519166069</v>
      </c>
      <c r="J69" s="74" cm="1">
        <f t="array" ref="J69">IFERROR(-PPMT(Kredyt1[[#This Row],[Oprocentowanie]]/12,Kredyt1[[#This Row],[Miesiąc kredytu]],IlośćRat,KwotaKredytu),"")</f>
        <v>577.22015175365107</v>
      </c>
      <c r="K69" s="75" cm="1">
        <f t="array" ref="K69">IF(Kredyt1[[#This Row],[Miesiąc kredytu]]="","",-PMT(Kredyt1[[#This Row],[Oprocentowanie]]/12,IlośćRat,KwotaKredytu))</f>
        <v>1556.0489869453118</v>
      </c>
      <c r="L69" s="75">
        <v>0</v>
      </c>
      <c r="M69" s="76">
        <f>IFERROR(M68-J69-Kredyt1[[#This Row],[Nadpłata]],"")</f>
        <v>293071.43040574453</v>
      </c>
    </row>
    <row r="70" spans="4:13">
      <c r="D70" s="70" cm="1">
        <f t="array" ref="D70">IF(ROW(65:65)&lt;=IlośćRat,ROW(65:65),"")</f>
        <v>65</v>
      </c>
      <c r="E70" s="70">
        <f>IFERROR(ROUNDUP(Kredyt1[[#This Row],[Miesiąc kredytu]]/12,0),"")</f>
        <v>6</v>
      </c>
      <c r="F70" s="71">
        <f t="shared" ref="F70:F133" si="1">IFERROR(EDATE($B$6,D70-1),"")</f>
        <v>46054</v>
      </c>
      <c r="G70" s="72" cm="1">
        <f t="array" ref="G70">IF(Kredyt1[[#This Row],[Data]]="","",WIBOR3M)</f>
        <v>0.02</v>
      </c>
      <c r="H70" s="72" cm="1">
        <f t="array" ref="H70">IF(Kredyt1[[#This Row],[Data]]="","",G70+MarżaBAnku)</f>
        <v>0.04</v>
      </c>
      <c r="I70" s="73">
        <f>IF(Kredyt1[[#This Row],[Data]]="","",Kredyt1[[#This Row],[Cała rata]]-Kredyt1[[#This Row],[Kapitał]])</f>
        <v>976.90476801914849</v>
      </c>
      <c r="J70" s="74" cm="1">
        <f t="array" ref="J70">IFERROR(-PPMT(Kredyt1[[#This Row],[Oprocentowanie]]/12,Kredyt1[[#This Row],[Miesiąc kredytu]],IlośćRat,KwotaKredytu),"")</f>
        <v>579.14421892616326</v>
      </c>
      <c r="K70" s="75" cm="1">
        <f t="array" ref="K70">IF(Kredyt1[[#This Row],[Miesiąc kredytu]]="","",-PMT(Kredyt1[[#This Row],[Oprocentowanie]]/12,IlośćRat,KwotaKredytu))</f>
        <v>1556.0489869453118</v>
      </c>
      <c r="L70" s="75">
        <v>0</v>
      </c>
      <c r="M70" s="76">
        <f>IFERROR(M69-J70-Kredyt1[[#This Row],[Nadpłata]],"")</f>
        <v>292492.28618681838</v>
      </c>
    </row>
    <row r="71" spans="4:13">
      <c r="D71" s="70" cm="1">
        <f t="array" ref="D71">IF(ROW(66:66)&lt;=IlośćRat,ROW(66:66),"")</f>
        <v>66</v>
      </c>
      <c r="E71" s="70">
        <f>IFERROR(ROUNDUP(Kredyt1[[#This Row],[Miesiąc kredytu]]/12,0),"")</f>
        <v>6</v>
      </c>
      <c r="F71" s="71">
        <f t="shared" si="1"/>
        <v>46082</v>
      </c>
      <c r="G71" s="72" cm="1">
        <f t="array" ref="G71">IF(Kredyt1[[#This Row],[Data]]="","",WIBOR3M)</f>
        <v>0.02</v>
      </c>
      <c r="H71" s="72" cm="1">
        <f t="array" ref="H71">IF(Kredyt1[[#This Row],[Data]]="","",G71+MarżaBAnku)</f>
        <v>0.04</v>
      </c>
      <c r="I71" s="73">
        <f>IF(Kredyt1[[#This Row],[Data]]="","",Kredyt1[[#This Row],[Cała rata]]-Kredyt1[[#This Row],[Kapitał]])</f>
        <v>974.97428728939462</v>
      </c>
      <c r="J71" s="74" cm="1">
        <f t="array" ref="J71">IFERROR(-PPMT(Kredyt1[[#This Row],[Oprocentowanie]]/12,Kredyt1[[#This Row],[Miesiąc kredytu]],IlośćRat,KwotaKredytu),"")</f>
        <v>581.07469965591713</v>
      </c>
      <c r="K71" s="75" cm="1">
        <f t="array" ref="K71">IF(Kredyt1[[#This Row],[Miesiąc kredytu]]="","",-PMT(Kredyt1[[#This Row],[Oprocentowanie]]/12,IlośćRat,KwotaKredytu))</f>
        <v>1556.0489869453118</v>
      </c>
      <c r="L71" s="75">
        <v>0</v>
      </c>
      <c r="M71" s="76">
        <f>IFERROR(M70-J71-Kredyt1[[#This Row],[Nadpłata]],"")</f>
        <v>291911.21148716245</v>
      </c>
    </row>
    <row r="72" spans="4:13">
      <c r="D72" s="70" cm="1">
        <f t="array" ref="D72">IF(ROW(67:67)&lt;=IlośćRat,ROW(67:67),"")</f>
        <v>67</v>
      </c>
      <c r="E72" s="70">
        <f>IFERROR(ROUNDUP(Kredyt1[[#This Row],[Miesiąc kredytu]]/12,0),"")</f>
        <v>6</v>
      </c>
      <c r="F72" s="71">
        <f t="shared" si="1"/>
        <v>46113</v>
      </c>
      <c r="G72" s="72" cm="1">
        <f t="array" ref="G72">IF(Kredyt1[[#This Row],[Data]]="","",WIBOR3M)</f>
        <v>0.02</v>
      </c>
      <c r="H72" s="72" cm="1">
        <f t="array" ref="H72">IF(Kredyt1[[#This Row],[Data]]="","",G72+MarżaBAnku)</f>
        <v>0.04</v>
      </c>
      <c r="I72" s="73">
        <f>IF(Kredyt1[[#This Row],[Data]]="","",Kredyt1[[#This Row],[Cała rata]]-Kredyt1[[#This Row],[Kapitał]])</f>
        <v>973.03737162387483</v>
      </c>
      <c r="J72" s="74" cm="1">
        <f t="array" ref="J72">IFERROR(-PPMT(Kredyt1[[#This Row],[Oprocentowanie]]/12,Kredyt1[[#This Row],[Miesiąc kredytu]],IlośćRat,KwotaKredytu),"")</f>
        <v>583.01161532143692</v>
      </c>
      <c r="K72" s="75" cm="1">
        <f t="array" ref="K72">IF(Kredyt1[[#This Row],[Miesiąc kredytu]]="","",-PMT(Kredyt1[[#This Row],[Oprocentowanie]]/12,IlośćRat,KwotaKredytu))</f>
        <v>1556.0489869453118</v>
      </c>
      <c r="L72" s="75">
        <v>0</v>
      </c>
      <c r="M72" s="76">
        <f>IFERROR(M71-J72-Kredyt1[[#This Row],[Nadpłata]],"")</f>
        <v>291328.199871841</v>
      </c>
    </row>
    <row r="73" spans="4:13">
      <c r="D73" s="70" cm="1">
        <f t="array" ref="D73">IF(ROW(68:68)&lt;=IlośćRat,ROW(68:68),"")</f>
        <v>68</v>
      </c>
      <c r="E73" s="70">
        <f>IFERROR(ROUNDUP(Kredyt1[[#This Row],[Miesiąc kredytu]]/12,0),"")</f>
        <v>6</v>
      </c>
      <c r="F73" s="71">
        <f t="shared" si="1"/>
        <v>46143</v>
      </c>
      <c r="G73" s="72" cm="1">
        <f t="array" ref="G73">IF(Kredyt1[[#This Row],[Data]]="","",WIBOR3M)</f>
        <v>0.02</v>
      </c>
      <c r="H73" s="72" cm="1">
        <f t="array" ref="H73">IF(Kredyt1[[#This Row],[Data]]="","",G73+MarżaBAnku)</f>
        <v>0.04</v>
      </c>
      <c r="I73" s="73">
        <f>IF(Kredyt1[[#This Row],[Data]]="","",Kredyt1[[#This Row],[Cała rata]]-Kredyt1[[#This Row],[Kapitał]])</f>
        <v>971.09399957280334</v>
      </c>
      <c r="J73" s="74" cm="1">
        <f t="array" ref="J73">IFERROR(-PPMT(Kredyt1[[#This Row],[Oprocentowanie]]/12,Kredyt1[[#This Row],[Miesiąc kredytu]],IlośćRat,KwotaKredytu),"")</f>
        <v>584.95498737250841</v>
      </c>
      <c r="K73" s="75" cm="1">
        <f t="array" ref="K73">IF(Kredyt1[[#This Row],[Miesiąc kredytu]]="","",-PMT(Kredyt1[[#This Row],[Oprocentowanie]]/12,IlośćRat,KwotaKredytu))</f>
        <v>1556.0489869453118</v>
      </c>
      <c r="L73" s="75">
        <v>0</v>
      </c>
      <c r="M73" s="76">
        <f>IFERROR(M72-J73-Kredyt1[[#This Row],[Nadpłata]],"")</f>
        <v>290743.2448844685</v>
      </c>
    </row>
    <row r="74" spans="4:13">
      <c r="D74" s="70" cm="1">
        <f t="array" ref="D74">IF(ROW(69:69)&lt;=IlośćRat,ROW(69:69),"")</f>
        <v>69</v>
      </c>
      <c r="E74" s="70">
        <f>IFERROR(ROUNDUP(Kredyt1[[#This Row],[Miesiąc kredytu]]/12,0),"")</f>
        <v>6</v>
      </c>
      <c r="F74" s="71">
        <f t="shared" si="1"/>
        <v>46174</v>
      </c>
      <c r="G74" s="72" cm="1">
        <f t="array" ref="G74">IF(Kredyt1[[#This Row],[Data]]="","",WIBOR3M)</f>
        <v>0.02</v>
      </c>
      <c r="H74" s="72" cm="1">
        <f t="array" ref="H74">IF(Kredyt1[[#This Row],[Data]]="","",G74+MarżaBAnku)</f>
        <v>0.04</v>
      </c>
      <c r="I74" s="73">
        <f>IF(Kredyt1[[#This Row],[Data]]="","",Kredyt1[[#This Row],[Cała rata]]-Kredyt1[[#This Row],[Kapitał]])</f>
        <v>969.14414961489501</v>
      </c>
      <c r="J74" s="74" cm="1">
        <f t="array" ref="J74">IFERROR(-PPMT(Kredyt1[[#This Row],[Oprocentowanie]]/12,Kredyt1[[#This Row],[Miesiąc kredytu]],IlośćRat,KwotaKredytu),"")</f>
        <v>586.90483733041674</v>
      </c>
      <c r="K74" s="75" cm="1">
        <f t="array" ref="K74">IF(Kredyt1[[#This Row],[Miesiąc kredytu]]="","",-PMT(Kredyt1[[#This Row],[Oprocentowanie]]/12,IlośćRat,KwotaKredytu))</f>
        <v>1556.0489869453118</v>
      </c>
      <c r="L74" s="75">
        <v>0</v>
      </c>
      <c r="M74" s="76">
        <f>IFERROR(M73-J74-Kredyt1[[#This Row],[Nadpłata]],"")</f>
        <v>290156.3400471381</v>
      </c>
    </row>
    <row r="75" spans="4:13">
      <c r="D75" s="70" cm="1">
        <f t="array" ref="D75">IF(ROW(70:70)&lt;=IlośćRat,ROW(70:70),"")</f>
        <v>70</v>
      </c>
      <c r="E75" s="70">
        <f>IFERROR(ROUNDUP(Kredyt1[[#This Row],[Miesiąc kredytu]]/12,0),"")</f>
        <v>6</v>
      </c>
      <c r="F75" s="71">
        <f t="shared" si="1"/>
        <v>46204</v>
      </c>
      <c r="G75" s="72" cm="1">
        <f t="array" ref="G75">IF(Kredyt1[[#This Row],[Data]]="","",WIBOR3M)</f>
        <v>0.02</v>
      </c>
      <c r="H75" s="72" cm="1">
        <f t="array" ref="H75">IF(Kredyt1[[#This Row],[Data]]="","",G75+MarżaBAnku)</f>
        <v>0.04</v>
      </c>
      <c r="I75" s="73">
        <f>IF(Kredyt1[[#This Row],[Data]]="","",Kredyt1[[#This Row],[Cała rata]]-Kredyt1[[#This Row],[Kapitał]])</f>
        <v>967.18780015712696</v>
      </c>
      <c r="J75" s="74" cm="1">
        <f t="array" ref="J75">IFERROR(-PPMT(Kredyt1[[#This Row],[Oprocentowanie]]/12,Kredyt1[[#This Row],[Miesiąc kredytu]],IlośćRat,KwotaKredytu),"")</f>
        <v>588.8611867881848</v>
      </c>
      <c r="K75" s="75" cm="1">
        <f t="array" ref="K75">IF(Kredyt1[[#This Row],[Miesiąc kredytu]]="","",-PMT(Kredyt1[[#This Row],[Oprocentowanie]]/12,IlośćRat,KwotaKredytu))</f>
        <v>1556.0489869453118</v>
      </c>
      <c r="L75" s="75">
        <v>0</v>
      </c>
      <c r="M75" s="76">
        <f>IFERROR(M74-J75-Kredyt1[[#This Row],[Nadpłata]],"")</f>
        <v>289567.47886034992</v>
      </c>
    </row>
    <row r="76" spans="4:13">
      <c r="D76" s="70" cm="1">
        <f t="array" ref="D76">IF(ROW(71:71)&lt;=IlośćRat,ROW(71:71),"")</f>
        <v>71</v>
      </c>
      <c r="E76" s="70">
        <f>IFERROR(ROUNDUP(Kredyt1[[#This Row],[Miesiąc kredytu]]/12,0),"")</f>
        <v>6</v>
      </c>
      <c r="F76" s="71">
        <f t="shared" si="1"/>
        <v>46235</v>
      </c>
      <c r="G76" s="72" cm="1">
        <f t="array" ref="G76">IF(Kredyt1[[#This Row],[Data]]="","",WIBOR3M)</f>
        <v>0.02</v>
      </c>
      <c r="H76" s="72" cm="1">
        <f t="array" ref="H76">IF(Kredyt1[[#This Row],[Data]]="","",G76+MarżaBAnku)</f>
        <v>0.04</v>
      </c>
      <c r="I76" s="73">
        <f>IF(Kredyt1[[#This Row],[Data]]="","",Kredyt1[[#This Row],[Cała rata]]-Kredyt1[[#This Row],[Kapitał]])</f>
        <v>965.22492953449967</v>
      </c>
      <c r="J76" s="74" cm="1">
        <f t="array" ref="J76">IFERROR(-PPMT(Kredyt1[[#This Row],[Oprocentowanie]]/12,Kredyt1[[#This Row],[Miesiąc kredytu]],IlośćRat,KwotaKredytu),"")</f>
        <v>590.82405741081209</v>
      </c>
      <c r="K76" s="75" cm="1">
        <f t="array" ref="K76">IF(Kredyt1[[#This Row],[Miesiąc kredytu]]="","",-PMT(Kredyt1[[#This Row],[Oprocentowanie]]/12,IlośćRat,KwotaKredytu))</f>
        <v>1556.0489869453118</v>
      </c>
      <c r="L76" s="75">
        <v>0</v>
      </c>
      <c r="M76" s="76">
        <f>IFERROR(M75-J76-Kredyt1[[#This Row],[Nadpłata]],"")</f>
        <v>288976.6548029391</v>
      </c>
    </row>
    <row r="77" spans="4:13">
      <c r="D77" s="70" cm="1">
        <f t="array" ref="D77">IF(ROW(72:72)&lt;=IlośćRat,ROW(72:72),"")</f>
        <v>72</v>
      </c>
      <c r="E77" s="70">
        <f>IFERROR(ROUNDUP(Kredyt1[[#This Row],[Miesiąc kredytu]]/12,0),"")</f>
        <v>6</v>
      </c>
      <c r="F77" s="71">
        <f t="shared" si="1"/>
        <v>46266</v>
      </c>
      <c r="G77" s="72" cm="1">
        <f t="array" ref="G77">IF(Kredyt1[[#This Row],[Data]]="","",WIBOR3M)</f>
        <v>0.02</v>
      </c>
      <c r="H77" s="72" cm="1">
        <f t="array" ref="H77">IF(Kredyt1[[#This Row],[Data]]="","",G77+MarżaBAnku)</f>
        <v>0.04</v>
      </c>
      <c r="I77" s="73">
        <f>IF(Kredyt1[[#This Row],[Data]]="","",Kredyt1[[#This Row],[Cała rata]]-Kredyt1[[#This Row],[Kapitał]])</f>
        <v>963.25551600979691</v>
      </c>
      <c r="J77" s="74" cm="1">
        <f t="array" ref="J77">IFERROR(-PPMT(Kredyt1[[#This Row],[Oprocentowanie]]/12,Kredyt1[[#This Row],[Miesiąc kredytu]],IlośćRat,KwotaKredytu),"")</f>
        <v>592.79347093551485</v>
      </c>
      <c r="K77" s="75" cm="1">
        <f t="array" ref="K77">IF(Kredyt1[[#This Row],[Miesiąc kredytu]]="","",-PMT(Kredyt1[[#This Row],[Oprocentowanie]]/12,IlośćRat,KwotaKredytu))</f>
        <v>1556.0489869453118</v>
      </c>
      <c r="L77" s="75">
        <v>0</v>
      </c>
      <c r="M77" s="76">
        <f>IFERROR(M76-J77-Kredyt1[[#This Row],[Nadpłata]],"")</f>
        <v>288383.86133200361</v>
      </c>
    </row>
    <row r="78" spans="4:13">
      <c r="D78" s="70" cm="1">
        <f t="array" ref="D78">IF(ROW(73:73)&lt;=IlośćRat,ROW(73:73),"")</f>
        <v>73</v>
      </c>
      <c r="E78" s="70">
        <f>IFERROR(ROUNDUP(Kredyt1[[#This Row],[Miesiąc kredytu]]/12,0),"")</f>
        <v>7</v>
      </c>
      <c r="F78" s="71">
        <f t="shared" si="1"/>
        <v>46296</v>
      </c>
      <c r="G78" s="72" cm="1">
        <f t="array" ref="G78">IF(Kredyt1[[#This Row],[Data]]="","",WIBOR3M)</f>
        <v>0.02</v>
      </c>
      <c r="H78" s="72" cm="1">
        <f t="array" ref="H78">IF(Kredyt1[[#This Row],[Data]]="","",G78+MarżaBAnku)</f>
        <v>0.04</v>
      </c>
      <c r="I78" s="73">
        <f>IF(Kredyt1[[#This Row],[Data]]="","",Kredyt1[[#This Row],[Cała rata]]-Kredyt1[[#This Row],[Kapitał]])</f>
        <v>961.27953777334528</v>
      </c>
      <c r="J78" s="74" cm="1">
        <f t="array" ref="J78">IFERROR(-PPMT(Kredyt1[[#This Row],[Oprocentowanie]]/12,Kredyt1[[#This Row],[Miesiąc kredytu]],IlośćRat,KwotaKredytu),"")</f>
        <v>594.76944917196647</v>
      </c>
      <c r="K78" s="75" cm="1">
        <f t="array" ref="K78">IF(Kredyt1[[#This Row],[Miesiąc kredytu]]="","",-PMT(Kredyt1[[#This Row],[Oprocentowanie]]/12,IlośćRat,KwotaKredytu))</f>
        <v>1556.0489869453118</v>
      </c>
      <c r="L78" s="75">
        <v>0</v>
      </c>
      <c r="M78" s="76">
        <f>IFERROR(M77-J78-Kredyt1[[#This Row],[Nadpłata]],"")</f>
        <v>287789.09188283165</v>
      </c>
    </row>
    <row r="79" spans="4:13">
      <c r="D79" s="70" cm="1">
        <f t="array" ref="D79">IF(ROW(74:74)&lt;=IlośćRat,ROW(74:74),"")</f>
        <v>74</v>
      </c>
      <c r="E79" s="70">
        <f>IFERROR(ROUNDUP(Kredyt1[[#This Row],[Miesiąc kredytu]]/12,0),"")</f>
        <v>7</v>
      </c>
      <c r="F79" s="71">
        <f t="shared" si="1"/>
        <v>46327</v>
      </c>
      <c r="G79" s="72" cm="1">
        <f t="array" ref="G79">IF(Kredyt1[[#This Row],[Data]]="","",WIBOR3M)</f>
        <v>0.02</v>
      </c>
      <c r="H79" s="72" cm="1">
        <f t="array" ref="H79">IF(Kredyt1[[#This Row],[Data]]="","",G79+MarżaBAnku)</f>
        <v>0.04</v>
      </c>
      <c r="I79" s="73">
        <f>IF(Kredyt1[[#This Row],[Data]]="","",Kredyt1[[#This Row],[Cała rata]]-Kredyt1[[#This Row],[Kapitał]])</f>
        <v>959.29697294277196</v>
      </c>
      <c r="J79" s="74" cm="1">
        <f t="array" ref="J79">IFERROR(-PPMT(Kredyt1[[#This Row],[Oprocentowanie]]/12,Kredyt1[[#This Row],[Miesiąc kredytu]],IlośćRat,KwotaKredytu),"")</f>
        <v>596.7520140025398</v>
      </c>
      <c r="K79" s="75" cm="1">
        <f t="array" ref="K79">IF(Kredyt1[[#This Row],[Miesiąc kredytu]]="","",-PMT(Kredyt1[[#This Row],[Oprocentowanie]]/12,IlośćRat,KwotaKredytu))</f>
        <v>1556.0489869453118</v>
      </c>
      <c r="L79" s="75">
        <v>0</v>
      </c>
      <c r="M79" s="76">
        <f>IFERROR(M78-J79-Kredyt1[[#This Row],[Nadpłata]],"")</f>
        <v>287192.33986882912</v>
      </c>
    </row>
    <row r="80" spans="4:13">
      <c r="D80" s="70" cm="1">
        <f t="array" ref="D80">IF(ROW(75:75)&lt;=IlośćRat,ROW(75:75),"")</f>
        <v>75</v>
      </c>
      <c r="E80" s="70">
        <f>IFERROR(ROUNDUP(Kredyt1[[#This Row],[Miesiąc kredytu]]/12,0),"")</f>
        <v>7</v>
      </c>
      <c r="F80" s="71">
        <f t="shared" si="1"/>
        <v>46357</v>
      </c>
      <c r="G80" s="72" cm="1">
        <f t="array" ref="G80">IF(Kredyt1[[#This Row],[Data]]="","",WIBOR3M)</f>
        <v>0.02</v>
      </c>
      <c r="H80" s="72" cm="1">
        <f t="array" ref="H80">IF(Kredyt1[[#This Row],[Data]]="","",G80+MarżaBAnku)</f>
        <v>0.04</v>
      </c>
      <c r="I80" s="73">
        <f>IF(Kredyt1[[#This Row],[Data]]="","",Kredyt1[[#This Row],[Cała rata]]-Kredyt1[[#This Row],[Kapitał]])</f>
        <v>957.30779956276353</v>
      </c>
      <c r="J80" s="74" cm="1">
        <f t="array" ref="J80">IFERROR(-PPMT(Kredyt1[[#This Row],[Oprocentowanie]]/12,Kredyt1[[#This Row],[Miesiąc kredytu]],IlośćRat,KwotaKredytu),"")</f>
        <v>598.74118738254822</v>
      </c>
      <c r="K80" s="75" cm="1">
        <f t="array" ref="K80">IF(Kredyt1[[#This Row],[Miesiąc kredytu]]="","",-PMT(Kredyt1[[#This Row],[Oprocentowanie]]/12,IlośćRat,KwotaKredytu))</f>
        <v>1556.0489869453118</v>
      </c>
      <c r="L80" s="75">
        <v>0</v>
      </c>
      <c r="M80" s="76">
        <f>IFERROR(M79-J80-Kredyt1[[#This Row],[Nadpłata]],"")</f>
        <v>286593.59868144657</v>
      </c>
    </row>
    <row r="81" spans="4:13">
      <c r="D81" s="70" cm="1">
        <f t="array" ref="D81">IF(ROW(76:76)&lt;=IlośćRat,ROW(76:76),"")</f>
        <v>76</v>
      </c>
      <c r="E81" s="70">
        <f>IFERROR(ROUNDUP(Kredyt1[[#This Row],[Miesiąc kredytu]]/12,0),"")</f>
        <v>7</v>
      </c>
      <c r="F81" s="71">
        <f t="shared" si="1"/>
        <v>46388</v>
      </c>
      <c r="G81" s="72" cm="1">
        <f t="array" ref="G81">IF(Kredyt1[[#This Row],[Data]]="","",WIBOR3M)</f>
        <v>0.02</v>
      </c>
      <c r="H81" s="72" cm="1">
        <f t="array" ref="H81">IF(Kredyt1[[#This Row],[Data]]="","",G81+MarżaBAnku)</f>
        <v>0.04</v>
      </c>
      <c r="I81" s="73">
        <f>IF(Kredyt1[[#This Row],[Data]]="","",Kredyt1[[#This Row],[Cała rata]]-Kredyt1[[#This Row],[Kapitał]])</f>
        <v>955.31199560482162</v>
      </c>
      <c r="J81" s="74" cm="1">
        <f t="array" ref="J81">IFERROR(-PPMT(Kredyt1[[#This Row],[Oprocentowanie]]/12,Kredyt1[[#This Row],[Miesiąc kredytu]],IlośćRat,KwotaKredytu),"")</f>
        <v>600.73699134049014</v>
      </c>
      <c r="K81" s="75" cm="1">
        <f t="array" ref="K81">IF(Kredyt1[[#This Row],[Miesiąc kredytu]]="","",-PMT(Kredyt1[[#This Row],[Oprocentowanie]]/12,IlośćRat,KwotaKredytu))</f>
        <v>1556.0489869453118</v>
      </c>
      <c r="L81" s="75">
        <v>0</v>
      </c>
      <c r="M81" s="76">
        <f>IFERROR(M80-J81-Kredyt1[[#This Row],[Nadpłata]],"")</f>
        <v>285992.8616901061</v>
      </c>
    </row>
    <row r="82" spans="4:13">
      <c r="D82" s="70" cm="1">
        <f t="array" ref="D82">IF(ROW(77:77)&lt;=IlośćRat,ROW(77:77),"")</f>
        <v>77</v>
      </c>
      <c r="E82" s="70">
        <f>IFERROR(ROUNDUP(Kredyt1[[#This Row],[Miesiąc kredytu]]/12,0),"")</f>
        <v>7</v>
      </c>
      <c r="F82" s="71">
        <f t="shared" si="1"/>
        <v>46419</v>
      </c>
      <c r="G82" s="72" cm="1">
        <f t="array" ref="G82">IF(Kredyt1[[#This Row],[Data]]="","",WIBOR3M)</f>
        <v>0.02</v>
      </c>
      <c r="H82" s="72" cm="1">
        <f t="array" ref="H82">IF(Kredyt1[[#This Row],[Data]]="","",G82+MarżaBAnku)</f>
        <v>0.04</v>
      </c>
      <c r="I82" s="73">
        <f>IF(Kredyt1[[#This Row],[Data]]="","",Kredyt1[[#This Row],[Cała rata]]-Kredyt1[[#This Row],[Kapitał]])</f>
        <v>953.3095389670201</v>
      </c>
      <c r="J82" s="74" cm="1">
        <f t="array" ref="J82">IFERROR(-PPMT(Kredyt1[[#This Row],[Oprocentowanie]]/12,Kredyt1[[#This Row],[Miesiąc kredytu]],IlośćRat,KwotaKredytu),"")</f>
        <v>602.73944797829165</v>
      </c>
      <c r="K82" s="75" cm="1">
        <f t="array" ref="K82">IF(Kredyt1[[#This Row],[Miesiąc kredytu]]="","",-PMT(Kredyt1[[#This Row],[Oprocentowanie]]/12,IlośćRat,KwotaKredytu))</f>
        <v>1556.0489869453118</v>
      </c>
      <c r="L82" s="75">
        <v>0</v>
      </c>
      <c r="M82" s="76">
        <f>IFERROR(M81-J82-Kredyt1[[#This Row],[Nadpłata]],"")</f>
        <v>285390.12224212784</v>
      </c>
    </row>
    <row r="83" spans="4:13">
      <c r="D83" s="70" cm="1">
        <f t="array" ref="D83">IF(ROW(78:78)&lt;=IlośćRat,ROW(78:78),"")</f>
        <v>78</v>
      </c>
      <c r="E83" s="70">
        <f>IFERROR(ROUNDUP(Kredyt1[[#This Row],[Miesiąc kredytu]]/12,0),"")</f>
        <v>7</v>
      </c>
      <c r="F83" s="71">
        <f t="shared" si="1"/>
        <v>46447</v>
      </c>
      <c r="G83" s="72" cm="1">
        <f t="array" ref="G83">IF(Kredyt1[[#This Row],[Data]]="","",WIBOR3M)</f>
        <v>0.02</v>
      </c>
      <c r="H83" s="72" cm="1">
        <f t="array" ref="H83">IF(Kredyt1[[#This Row],[Data]]="","",G83+MarżaBAnku)</f>
        <v>0.04</v>
      </c>
      <c r="I83" s="73">
        <f>IF(Kredyt1[[#This Row],[Data]]="","",Kredyt1[[#This Row],[Cała rata]]-Kredyt1[[#This Row],[Kapitał]])</f>
        <v>951.30040747375915</v>
      </c>
      <c r="J83" s="74" cm="1">
        <f t="array" ref="J83">IFERROR(-PPMT(Kredyt1[[#This Row],[Oprocentowanie]]/12,Kredyt1[[#This Row],[Miesiąc kredytu]],IlośćRat,KwotaKredytu),"")</f>
        <v>604.7485794715526</v>
      </c>
      <c r="K83" s="75" cm="1">
        <f t="array" ref="K83">IF(Kredyt1[[#This Row],[Miesiąc kredytu]]="","",-PMT(Kredyt1[[#This Row],[Oprocentowanie]]/12,IlośćRat,KwotaKredytu))</f>
        <v>1556.0489869453118</v>
      </c>
      <c r="L83" s="75">
        <v>0</v>
      </c>
      <c r="M83" s="76">
        <f>IFERROR(M82-J83-Kredyt1[[#This Row],[Nadpłata]],"")</f>
        <v>284785.37366265629</v>
      </c>
    </row>
    <row r="84" spans="4:13">
      <c r="D84" s="70" cm="1">
        <f t="array" ref="D84">IF(ROW(79:79)&lt;=IlośćRat,ROW(79:79),"")</f>
        <v>79</v>
      </c>
      <c r="E84" s="70">
        <f>IFERROR(ROUNDUP(Kredyt1[[#This Row],[Miesiąc kredytu]]/12,0),"")</f>
        <v>7</v>
      </c>
      <c r="F84" s="71">
        <f t="shared" si="1"/>
        <v>46478</v>
      </c>
      <c r="G84" s="72" cm="1">
        <f t="array" ref="G84">IF(Kredyt1[[#This Row],[Data]]="","",WIBOR3M)</f>
        <v>0.02</v>
      </c>
      <c r="H84" s="72" cm="1">
        <f t="array" ref="H84">IF(Kredyt1[[#This Row],[Data]]="","",G84+MarżaBAnku)</f>
        <v>0.04</v>
      </c>
      <c r="I84" s="73">
        <f>IF(Kredyt1[[#This Row],[Data]]="","",Kredyt1[[#This Row],[Cała rata]]-Kredyt1[[#This Row],[Kapitał]])</f>
        <v>949.28457887552065</v>
      </c>
      <c r="J84" s="74" cm="1">
        <f t="array" ref="J84">IFERROR(-PPMT(Kredyt1[[#This Row],[Oprocentowanie]]/12,Kredyt1[[#This Row],[Miesiąc kredytu]],IlośćRat,KwotaKredytu),"")</f>
        <v>606.7644080697911</v>
      </c>
      <c r="K84" s="75" cm="1">
        <f t="array" ref="K84">IF(Kredyt1[[#This Row],[Miesiąc kredytu]]="","",-PMT(Kredyt1[[#This Row],[Oprocentowanie]]/12,IlośćRat,KwotaKredytu))</f>
        <v>1556.0489869453118</v>
      </c>
      <c r="L84" s="75">
        <v>0</v>
      </c>
      <c r="M84" s="76">
        <f>IFERROR(M83-J84-Kredyt1[[#This Row],[Nadpłata]],"")</f>
        <v>284178.60925458651</v>
      </c>
    </row>
    <row r="85" spans="4:13">
      <c r="D85" s="70" cm="1">
        <f t="array" ref="D85">IF(ROW(80:80)&lt;=IlośćRat,ROW(80:80),"")</f>
        <v>80</v>
      </c>
      <c r="E85" s="70">
        <f>IFERROR(ROUNDUP(Kredyt1[[#This Row],[Miesiąc kredytu]]/12,0),"")</f>
        <v>7</v>
      </c>
      <c r="F85" s="71">
        <f t="shared" si="1"/>
        <v>46508</v>
      </c>
      <c r="G85" s="72" cm="1">
        <f t="array" ref="G85">IF(Kredyt1[[#This Row],[Data]]="","",WIBOR3M)</f>
        <v>0.02</v>
      </c>
      <c r="H85" s="72" cm="1">
        <f t="array" ref="H85">IF(Kredyt1[[#This Row],[Data]]="","",G85+MarżaBAnku)</f>
        <v>0.04</v>
      </c>
      <c r="I85" s="73">
        <f>IF(Kredyt1[[#This Row],[Data]]="","",Kredyt1[[#This Row],[Cała rata]]-Kredyt1[[#This Row],[Kapitał]])</f>
        <v>947.26203084862129</v>
      </c>
      <c r="J85" s="74" cm="1">
        <f t="array" ref="J85">IFERROR(-PPMT(Kredyt1[[#This Row],[Oprocentowanie]]/12,Kredyt1[[#This Row],[Miesiąc kredytu]],IlośćRat,KwotaKredytu),"")</f>
        <v>608.78695609669046</v>
      </c>
      <c r="K85" s="75" cm="1">
        <f t="array" ref="K85">IF(Kredyt1[[#This Row],[Miesiąc kredytu]]="","",-PMT(Kredyt1[[#This Row],[Oprocentowanie]]/12,IlośćRat,KwotaKredytu))</f>
        <v>1556.0489869453118</v>
      </c>
      <c r="L85" s="75">
        <v>0</v>
      </c>
      <c r="M85" s="76">
        <f>IFERROR(M84-J85-Kredyt1[[#This Row],[Nadpłata]],"")</f>
        <v>283569.8222984898</v>
      </c>
    </row>
    <row r="86" spans="4:13">
      <c r="D86" s="70" cm="1">
        <f t="array" ref="D86">IF(ROW(81:81)&lt;=IlośćRat,ROW(81:81),"")</f>
        <v>81</v>
      </c>
      <c r="E86" s="70">
        <f>IFERROR(ROUNDUP(Kredyt1[[#This Row],[Miesiąc kredytu]]/12,0),"")</f>
        <v>7</v>
      </c>
      <c r="F86" s="71">
        <f t="shared" si="1"/>
        <v>46539</v>
      </c>
      <c r="G86" s="72" cm="1">
        <f t="array" ref="G86">IF(Kredyt1[[#This Row],[Data]]="","",WIBOR3M)</f>
        <v>0.02</v>
      </c>
      <c r="H86" s="72" cm="1">
        <f t="array" ref="H86">IF(Kredyt1[[#This Row],[Data]]="","",G86+MarżaBAnku)</f>
        <v>0.04</v>
      </c>
      <c r="I86" s="73">
        <f>IF(Kredyt1[[#This Row],[Data]]="","",Kredyt1[[#This Row],[Cała rata]]-Kredyt1[[#This Row],[Kapitał]])</f>
        <v>945.23274099496564</v>
      </c>
      <c r="J86" s="74" cm="1">
        <f t="array" ref="J86">IFERROR(-PPMT(Kredyt1[[#This Row],[Oprocentowanie]]/12,Kredyt1[[#This Row],[Miesiąc kredytu]],IlośćRat,KwotaKredytu),"")</f>
        <v>610.81624595034612</v>
      </c>
      <c r="K86" s="75" cm="1">
        <f t="array" ref="K86">IF(Kredyt1[[#This Row],[Miesiąc kredytu]]="","",-PMT(Kredyt1[[#This Row],[Oprocentowanie]]/12,IlośćRat,KwotaKredytu))</f>
        <v>1556.0489869453118</v>
      </c>
      <c r="L86" s="75">
        <v>0</v>
      </c>
      <c r="M86" s="76">
        <f>IFERROR(M85-J86-Kredyt1[[#This Row],[Nadpłata]],"")</f>
        <v>282959.00605253945</v>
      </c>
    </row>
    <row r="87" spans="4:13">
      <c r="D87" s="70" cm="1">
        <f t="array" ref="D87">IF(ROW(82:82)&lt;=IlośćRat,ROW(82:82),"")</f>
        <v>82</v>
      </c>
      <c r="E87" s="70">
        <f>IFERROR(ROUNDUP(Kredyt1[[#This Row],[Miesiąc kredytu]]/12,0),"")</f>
        <v>7</v>
      </c>
      <c r="F87" s="71">
        <f t="shared" si="1"/>
        <v>46569</v>
      </c>
      <c r="G87" s="72" cm="1">
        <f t="array" ref="G87">IF(Kredyt1[[#This Row],[Data]]="","",WIBOR3M)</f>
        <v>0.02</v>
      </c>
      <c r="H87" s="72" cm="1">
        <f t="array" ref="H87">IF(Kredyt1[[#This Row],[Data]]="","",G87+MarżaBAnku)</f>
        <v>0.04</v>
      </c>
      <c r="I87" s="73">
        <f>IF(Kredyt1[[#This Row],[Data]]="","",Kredyt1[[#This Row],[Cała rata]]-Kredyt1[[#This Row],[Kapitał]])</f>
        <v>943.19668684179794</v>
      </c>
      <c r="J87" s="74" cm="1">
        <f t="array" ref="J87">IFERROR(-PPMT(Kredyt1[[#This Row],[Oprocentowanie]]/12,Kredyt1[[#This Row],[Miesiąc kredytu]],IlośćRat,KwotaKredytu),"")</f>
        <v>612.85230010351381</v>
      </c>
      <c r="K87" s="75" cm="1">
        <f t="array" ref="K87">IF(Kredyt1[[#This Row],[Miesiąc kredytu]]="","",-PMT(Kredyt1[[#This Row],[Oprocentowanie]]/12,IlośćRat,KwotaKredytu))</f>
        <v>1556.0489869453118</v>
      </c>
      <c r="L87" s="75">
        <v>0</v>
      </c>
      <c r="M87" s="76">
        <f>IFERROR(M86-J87-Kredyt1[[#This Row],[Nadpłata]],"")</f>
        <v>282346.15375243593</v>
      </c>
    </row>
    <row r="88" spans="4:13">
      <c r="D88" s="70" cm="1">
        <f t="array" ref="D88">IF(ROW(83:83)&lt;=IlośćRat,ROW(83:83),"")</f>
        <v>83</v>
      </c>
      <c r="E88" s="70">
        <f>IFERROR(ROUNDUP(Kredyt1[[#This Row],[Miesiąc kredytu]]/12,0),"")</f>
        <v>7</v>
      </c>
      <c r="F88" s="71">
        <f t="shared" si="1"/>
        <v>46600</v>
      </c>
      <c r="G88" s="72" cm="1">
        <f t="array" ref="G88">IF(Kredyt1[[#This Row],[Data]]="","",WIBOR3M)</f>
        <v>0.02</v>
      </c>
      <c r="H88" s="72" cm="1">
        <f t="array" ref="H88">IF(Kredyt1[[#This Row],[Data]]="","",G88+MarżaBAnku)</f>
        <v>0.04</v>
      </c>
      <c r="I88" s="73">
        <f>IF(Kredyt1[[#This Row],[Data]]="","",Kredyt1[[#This Row],[Cała rata]]-Kredyt1[[#This Row],[Kapitał]])</f>
        <v>941.15384584145272</v>
      </c>
      <c r="J88" s="74" cm="1">
        <f t="array" ref="J88">IFERROR(-PPMT(Kredyt1[[#This Row],[Oprocentowanie]]/12,Kredyt1[[#This Row],[Miesiąc kredytu]],IlośćRat,KwotaKredytu),"")</f>
        <v>614.89514110385903</v>
      </c>
      <c r="K88" s="75" cm="1">
        <f t="array" ref="K88">IF(Kredyt1[[#This Row],[Miesiąc kredytu]]="","",-PMT(Kredyt1[[#This Row],[Oprocentowanie]]/12,IlośćRat,KwotaKredytu))</f>
        <v>1556.0489869453118</v>
      </c>
      <c r="L88" s="75">
        <v>0</v>
      </c>
      <c r="M88" s="76">
        <f>IFERROR(M87-J88-Kredyt1[[#This Row],[Nadpłata]],"")</f>
        <v>281731.25861133204</v>
      </c>
    </row>
    <row r="89" spans="4:13">
      <c r="D89" s="70" cm="1">
        <f t="array" ref="D89">IF(ROW(84:84)&lt;=IlośćRat,ROW(84:84),"")</f>
        <v>84</v>
      </c>
      <c r="E89" s="70">
        <f>IFERROR(ROUNDUP(Kredyt1[[#This Row],[Miesiąc kredytu]]/12,0),"")</f>
        <v>7</v>
      </c>
      <c r="F89" s="71">
        <f t="shared" si="1"/>
        <v>46631</v>
      </c>
      <c r="G89" s="72" cm="1">
        <f t="array" ref="G89">IF(Kredyt1[[#This Row],[Data]]="","",WIBOR3M)</f>
        <v>0.02</v>
      </c>
      <c r="H89" s="72" cm="1">
        <f t="array" ref="H89">IF(Kredyt1[[#This Row],[Data]]="","",G89+MarżaBAnku)</f>
        <v>0.04</v>
      </c>
      <c r="I89" s="73">
        <f>IF(Kredyt1[[#This Row],[Data]]="","",Kredyt1[[#This Row],[Cała rata]]-Kredyt1[[#This Row],[Kapitał]])</f>
        <v>939.1041953711067</v>
      </c>
      <c r="J89" s="74" cm="1">
        <f t="array" ref="J89">IFERROR(-PPMT(Kredyt1[[#This Row],[Oprocentowanie]]/12,Kredyt1[[#This Row],[Miesiąc kredytu]],IlośćRat,KwotaKredytu),"")</f>
        <v>616.94479157420506</v>
      </c>
      <c r="K89" s="75" cm="1">
        <f t="array" ref="K89">IF(Kredyt1[[#This Row],[Miesiąc kredytu]]="","",-PMT(Kredyt1[[#This Row],[Oprocentowanie]]/12,IlośćRat,KwotaKredytu))</f>
        <v>1556.0489869453118</v>
      </c>
      <c r="L89" s="75">
        <v>0</v>
      </c>
      <c r="M89" s="76">
        <f>IFERROR(M88-J89-Kredyt1[[#This Row],[Nadpłata]],"")</f>
        <v>281114.31381975784</v>
      </c>
    </row>
    <row r="90" spans="4:13">
      <c r="D90" s="70" cm="1">
        <f t="array" ref="D90">IF(ROW(85:85)&lt;=IlośćRat,ROW(85:85),"")</f>
        <v>85</v>
      </c>
      <c r="E90" s="70">
        <f>IFERROR(ROUNDUP(Kredyt1[[#This Row],[Miesiąc kredytu]]/12,0),"")</f>
        <v>8</v>
      </c>
      <c r="F90" s="71">
        <f t="shared" si="1"/>
        <v>46661</v>
      </c>
      <c r="G90" s="72" cm="1">
        <f t="array" ref="G90">IF(Kredyt1[[#This Row],[Data]]="","",WIBOR3M)</f>
        <v>0.02</v>
      </c>
      <c r="H90" s="72" cm="1">
        <f t="array" ref="H90">IF(Kredyt1[[#This Row],[Data]]="","",G90+MarżaBAnku)</f>
        <v>0.04</v>
      </c>
      <c r="I90" s="73">
        <f>IF(Kredyt1[[#This Row],[Data]]="","",Kredyt1[[#This Row],[Cała rata]]-Kredyt1[[#This Row],[Kapitał]])</f>
        <v>937.04771273252595</v>
      </c>
      <c r="J90" s="74" cm="1">
        <f t="array" ref="J90">IFERROR(-PPMT(Kredyt1[[#This Row],[Oprocentowanie]]/12,Kredyt1[[#This Row],[Miesiąc kredytu]],IlośćRat,KwotaKredytu),"")</f>
        <v>619.0012742127858</v>
      </c>
      <c r="K90" s="75" cm="1">
        <f t="array" ref="K90">IF(Kredyt1[[#This Row],[Miesiąc kredytu]]="","",-PMT(Kredyt1[[#This Row],[Oprocentowanie]]/12,IlośćRat,KwotaKredytu))</f>
        <v>1556.0489869453118</v>
      </c>
      <c r="L90" s="75">
        <v>0</v>
      </c>
      <c r="M90" s="76">
        <f>IFERROR(M89-J90-Kredyt1[[#This Row],[Nadpłata]],"")</f>
        <v>280495.31254554505</v>
      </c>
    </row>
    <row r="91" spans="4:13">
      <c r="D91" s="70" cm="1">
        <f t="array" ref="D91">IF(ROW(86:86)&lt;=IlośćRat,ROW(86:86),"")</f>
        <v>86</v>
      </c>
      <c r="E91" s="70">
        <f>IFERROR(ROUNDUP(Kredyt1[[#This Row],[Miesiąc kredytu]]/12,0),"")</f>
        <v>8</v>
      </c>
      <c r="F91" s="71">
        <f t="shared" si="1"/>
        <v>46692</v>
      </c>
      <c r="G91" s="72" cm="1">
        <f t="array" ref="G91">IF(Kredyt1[[#This Row],[Data]]="","",WIBOR3M)</f>
        <v>0.02</v>
      </c>
      <c r="H91" s="72" cm="1">
        <f t="array" ref="H91">IF(Kredyt1[[#This Row],[Data]]="","",G91+MarżaBAnku)</f>
        <v>0.04</v>
      </c>
      <c r="I91" s="73">
        <f>IF(Kredyt1[[#This Row],[Data]]="","",Kredyt1[[#This Row],[Cała rata]]-Kredyt1[[#This Row],[Kapitał]])</f>
        <v>934.98437515181672</v>
      </c>
      <c r="J91" s="74" cm="1">
        <f t="array" ref="J91">IFERROR(-PPMT(Kredyt1[[#This Row],[Oprocentowanie]]/12,Kredyt1[[#This Row],[Miesiąc kredytu]],IlośćRat,KwotaKredytu),"")</f>
        <v>621.06461179349503</v>
      </c>
      <c r="K91" s="75" cm="1">
        <f t="array" ref="K91">IF(Kredyt1[[#This Row],[Miesiąc kredytu]]="","",-PMT(Kredyt1[[#This Row],[Oprocentowanie]]/12,IlośćRat,KwotaKredytu))</f>
        <v>1556.0489869453118</v>
      </c>
      <c r="L91" s="75">
        <v>0</v>
      </c>
      <c r="M91" s="76">
        <f>IFERROR(M90-J91-Kredyt1[[#This Row],[Nadpłata]],"")</f>
        <v>279874.24793375155</v>
      </c>
    </row>
    <row r="92" spans="4:13">
      <c r="D92" s="70" cm="1">
        <f t="array" ref="D92">IF(ROW(87:87)&lt;=IlośćRat,ROW(87:87),"")</f>
        <v>87</v>
      </c>
      <c r="E92" s="70">
        <f>IFERROR(ROUNDUP(Kredyt1[[#This Row],[Miesiąc kredytu]]/12,0),"")</f>
        <v>8</v>
      </c>
      <c r="F92" s="71">
        <f t="shared" si="1"/>
        <v>46722</v>
      </c>
      <c r="G92" s="72" cm="1">
        <f t="array" ref="G92">IF(Kredyt1[[#This Row],[Data]]="","",WIBOR3M)</f>
        <v>0.02</v>
      </c>
      <c r="H92" s="72" cm="1">
        <f t="array" ref="H92">IF(Kredyt1[[#This Row],[Data]]="","",G92+MarżaBAnku)</f>
        <v>0.04</v>
      </c>
      <c r="I92" s="73">
        <f>IF(Kredyt1[[#This Row],[Data]]="","",Kredyt1[[#This Row],[Cała rata]]-Kredyt1[[#This Row],[Kapitał]])</f>
        <v>932.91415977917165</v>
      </c>
      <c r="J92" s="74" cm="1">
        <f t="array" ref="J92">IFERROR(-PPMT(Kredyt1[[#This Row],[Oprocentowanie]]/12,Kredyt1[[#This Row],[Miesiąc kredytu]],IlośćRat,KwotaKredytu),"")</f>
        <v>623.1348271661401</v>
      </c>
      <c r="K92" s="75" cm="1">
        <f t="array" ref="K92">IF(Kredyt1[[#This Row],[Miesiąc kredytu]]="","",-PMT(Kredyt1[[#This Row],[Oprocentowanie]]/12,IlośćRat,KwotaKredytu))</f>
        <v>1556.0489869453118</v>
      </c>
      <c r="L92" s="75">
        <v>0</v>
      </c>
      <c r="M92" s="76">
        <f>IFERROR(M91-J92-Kredyt1[[#This Row],[Nadpłata]],"")</f>
        <v>279251.1131065854</v>
      </c>
    </row>
    <row r="93" spans="4:13">
      <c r="D93" s="70" cm="1">
        <f t="array" ref="D93">IF(ROW(88:88)&lt;=IlośćRat,ROW(88:88),"")</f>
        <v>88</v>
      </c>
      <c r="E93" s="70">
        <f>IFERROR(ROUNDUP(Kredyt1[[#This Row],[Miesiąc kredytu]]/12,0),"")</f>
        <v>8</v>
      </c>
      <c r="F93" s="71">
        <f t="shared" si="1"/>
        <v>46753</v>
      </c>
      <c r="G93" s="72" cm="1">
        <f t="array" ref="G93">IF(Kredyt1[[#This Row],[Data]]="","",WIBOR3M)</f>
        <v>0.02</v>
      </c>
      <c r="H93" s="72" cm="1">
        <f t="array" ref="H93">IF(Kredyt1[[#This Row],[Data]]="","",G93+MarżaBAnku)</f>
        <v>0.04</v>
      </c>
      <c r="I93" s="73">
        <f>IF(Kredyt1[[#This Row],[Data]]="","",Kredyt1[[#This Row],[Cała rata]]-Kredyt1[[#This Row],[Kapitał]])</f>
        <v>930.83704368861788</v>
      </c>
      <c r="J93" s="74" cm="1">
        <f t="array" ref="J93">IFERROR(-PPMT(Kredyt1[[#This Row],[Oprocentowanie]]/12,Kredyt1[[#This Row],[Miesiąc kredytu]],IlośćRat,KwotaKredytu),"")</f>
        <v>625.21194325669387</v>
      </c>
      <c r="K93" s="75" cm="1">
        <f t="array" ref="K93">IF(Kredyt1[[#This Row],[Miesiąc kredytu]]="","",-PMT(Kredyt1[[#This Row],[Oprocentowanie]]/12,IlośćRat,KwotaKredytu))</f>
        <v>1556.0489869453118</v>
      </c>
      <c r="L93" s="75">
        <v>0</v>
      </c>
      <c r="M93" s="76">
        <f>IFERROR(M92-J93-Kredyt1[[#This Row],[Nadpłata]],"")</f>
        <v>278625.90116332873</v>
      </c>
    </row>
    <row r="94" spans="4:13">
      <c r="D94" s="70" cm="1">
        <f t="array" ref="D94">IF(ROW(89:89)&lt;=IlośćRat,ROW(89:89),"")</f>
        <v>89</v>
      </c>
      <c r="E94" s="70">
        <f>IFERROR(ROUNDUP(Kredyt1[[#This Row],[Miesiąc kredytu]]/12,0),"")</f>
        <v>8</v>
      </c>
      <c r="F94" s="71">
        <f t="shared" si="1"/>
        <v>46784</v>
      </c>
      <c r="G94" s="72" cm="1">
        <f t="array" ref="G94">IF(Kredyt1[[#This Row],[Data]]="","",WIBOR3M)</f>
        <v>0.02</v>
      </c>
      <c r="H94" s="72" cm="1">
        <f t="array" ref="H94">IF(Kredyt1[[#This Row],[Data]]="","",G94+MarżaBAnku)</f>
        <v>0.04</v>
      </c>
      <c r="I94" s="73">
        <f>IF(Kredyt1[[#This Row],[Data]]="","",Kredyt1[[#This Row],[Cała rata]]-Kredyt1[[#This Row],[Kapitał]])</f>
        <v>928.75300387776224</v>
      </c>
      <c r="J94" s="74" cm="1">
        <f t="array" ref="J94">IFERROR(-PPMT(Kredyt1[[#This Row],[Oprocentowanie]]/12,Kredyt1[[#This Row],[Miesiąc kredytu]],IlośćRat,KwotaKredytu),"")</f>
        <v>627.29598306754951</v>
      </c>
      <c r="K94" s="75" cm="1">
        <f t="array" ref="K94">IF(Kredyt1[[#This Row],[Miesiąc kredytu]]="","",-PMT(Kredyt1[[#This Row],[Oprocentowanie]]/12,IlośćRat,KwotaKredytu))</f>
        <v>1556.0489869453118</v>
      </c>
      <c r="L94" s="75">
        <v>0</v>
      </c>
      <c r="M94" s="76">
        <f>IFERROR(M93-J94-Kredyt1[[#This Row],[Nadpłata]],"")</f>
        <v>277998.60518026119</v>
      </c>
    </row>
    <row r="95" spans="4:13">
      <c r="D95" s="70" cm="1">
        <f t="array" ref="D95">IF(ROW(90:90)&lt;=IlośćRat,ROW(90:90),"")</f>
        <v>90</v>
      </c>
      <c r="E95" s="70">
        <f>IFERROR(ROUNDUP(Kredyt1[[#This Row],[Miesiąc kredytu]]/12,0),"")</f>
        <v>8</v>
      </c>
      <c r="F95" s="71">
        <f t="shared" si="1"/>
        <v>46813</v>
      </c>
      <c r="G95" s="72" cm="1">
        <f t="array" ref="G95">IF(Kredyt1[[#This Row],[Data]]="","",WIBOR3M)</f>
        <v>0.02</v>
      </c>
      <c r="H95" s="72" cm="1">
        <f t="array" ref="H95">IF(Kredyt1[[#This Row],[Data]]="","",G95+MarżaBAnku)</f>
        <v>0.04</v>
      </c>
      <c r="I95" s="73">
        <f>IF(Kredyt1[[#This Row],[Data]]="","",Kredyt1[[#This Row],[Cała rata]]-Kredyt1[[#This Row],[Kapitał]])</f>
        <v>926.66201726753707</v>
      </c>
      <c r="J95" s="74" cm="1">
        <f t="array" ref="J95">IFERROR(-PPMT(Kredyt1[[#This Row],[Oprocentowanie]]/12,Kredyt1[[#This Row],[Miesiąc kredytu]],IlośćRat,KwotaKredytu),"")</f>
        <v>629.38696967777469</v>
      </c>
      <c r="K95" s="75" cm="1">
        <f t="array" ref="K95">IF(Kredyt1[[#This Row],[Miesiąc kredytu]]="","",-PMT(Kredyt1[[#This Row],[Oprocentowanie]]/12,IlośćRat,KwotaKredytu))</f>
        <v>1556.0489869453118</v>
      </c>
      <c r="L95" s="75">
        <v>0</v>
      </c>
      <c r="M95" s="76">
        <f>IFERROR(M94-J95-Kredyt1[[#This Row],[Nadpłata]],"")</f>
        <v>277369.21821058344</v>
      </c>
    </row>
    <row r="96" spans="4:13">
      <c r="D96" s="70" cm="1">
        <f t="array" ref="D96">IF(ROW(91:91)&lt;=IlośćRat,ROW(91:91),"")</f>
        <v>91</v>
      </c>
      <c r="E96" s="70">
        <f>IFERROR(ROUNDUP(Kredyt1[[#This Row],[Miesiąc kredytu]]/12,0),"")</f>
        <v>8</v>
      </c>
      <c r="F96" s="71">
        <f t="shared" si="1"/>
        <v>46844</v>
      </c>
      <c r="G96" s="72" cm="1">
        <f t="array" ref="G96">IF(Kredyt1[[#This Row],[Data]]="","",WIBOR3M)</f>
        <v>0.02</v>
      </c>
      <c r="H96" s="72" cm="1">
        <f t="array" ref="H96">IF(Kredyt1[[#This Row],[Data]]="","",G96+MarżaBAnku)</f>
        <v>0.04</v>
      </c>
      <c r="I96" s="73">
        <f>IF(Kredyt1[[#This Row],[Data]]="","",Kredyt1[[#This Row],[Cała rata]]-Kredyt1[[#This Row],[Kapitał]])</f>
        <v>924.56406070194441</v>
      </c>
      <c r="J96" s="74" cm="1">
        <f t="array" ref="J96">IFERROR(-PPMT(Kredyt1[[#This Row],[Oprocentowanie]]/12,Kredyt1[[#This Row],[Miesiąc kredytu]],IlośćRat,KwotaKredytu),"")</f>
        <v>631.48492624336734</v>
      </c>
      <c r="K96" s="75" cm="1">
        <f t="array" ref="K96">IF(Kredyt1[[#This Row],[Miesiąc kredytu]]="","",-PMT(Kredyt1[[#This Row],[Oprocentowanie]]/12,IlośćRat,KwotaKredytu))</f>
        <v>1556.0489869453118</v>
      </c>
      <c r="L96" s="75">
        <v>0</v>
      </c>
      <c r="M96" s="76">
        <f>IFERROR(M95-J96-Kredyt1[[#This Row],[Nadpłata]],"")</f>
        <v>276737.73328434007</v>
      </c>
    </row>
    <row r="97" spans="4:13">
      <c r="D97" s="70" cm="1">
        <f t="array" ref="D97">IF(ROW(92:92)&lt;=IlośćRat,ROW(92:92),"")</f>
        <v>92</v>
      </c>
      <c r="E97" s="70">
        <f>IFERROR(ROUNDUP(Kredyt1[[#This Row],[Miesiąc kredytu]]/12,0),"")</f>
        <v>8</v>
      </c>
      <c r="F97" s="71">
        <f t="shared" si="1"/>
        <v>46874</v>
      </c>
      <c r="G97" s="72" cm="1">
        <f t="array" ref="G97">IF(Kredyt1[[#This Row],[Data]]="","",WIBOR3M)</f>
        <v>0.02</v>
      </c>
      <c r="H97" s="72" cm="1">
        <f t="array" ref="H97">IF(Kredyt1[[#This Row],[Data]]="","",G97+MarżaBAnku)</f>
        <v>0.04</v>
      </c>
      <c r="I97" s="73">
        <f>IF(Kredyt1[[#This Row],[Data]]="","",Kredyt1[[#This Row],[Cała rata]]-Kredyt1[[#This Row],[Kapitał]])</f>
        <v>922.45911094780001</v>
      </c>
      <c r="J97" s="74" cm="1">
        <f t="array" ref="J97">IFERROR(-PPMT(Kredyt1[[#This Row],[Oprocentowanie]]/12,Kredyt1[[#This Row],[Miesiąc kredytu]],IlośćRat,KwotaKredytu),"")</f>
        <v>633.58987599751174</v>
      </c>
      <c r="K97" s="75" cm="1">
        <f t="array" ref="K97">IF(Kredyt1[[#This Row],[Miesiąc kredytu]]="","",-PMT(Kredyt1[[#This Row],[Oprocentowanie]]/12,IlośćRat,KwotaKredytu))</f>
        <v>1556.0489869453118</v>
      </c>
      <c r="L97" s="75">
        <v>0</v>
      </c>
      <c r="M97" s="76">
        <f>IFERROR(M96-J97-Kredyt1[[#This Row],[Nadpłata]],"")</f>
        <v>276104.14340834256</v>
      </c>
    </row>
    <row r="98" spans="4:13">
      <c r="D98" s="70" cm="1">
        <f t="array" ref="D98">IF(ROW(93:93)&lt;=IlośćRat,ROW(93:93),"")</f>
        <v>93</v>
      </c>
      <c r="E98" s="70">
        <f>IFERROR(ROUNDUP(Kredyt1[[#This Row],[Miesiąc kredytu]]/12,0),"")</f>
        <v>8</v>
      </c>
      <c r="F98" s="71">
        <f t="shared" si="1"/>
        <v>46905</v>
      </c>
      <c r="G98" s="72" cm="1">
        <f t="array" ref="G98">IF(Kredyt1[[#This Row],[Data]]="","",WIBOR3M)</f>
        <v>0.02</v>
      </c>
      <c r="H98" s="72" cm="1">
        <f t="array" ref="H98">IF(Kredyt1[[#This Row],[Data]]="","",G98+MarżaBAnku)</f>
        <v>0.04</v>
      </c>
      <c r="I98" s="73">
        <f>IF(Kredyt1[[#This Row],[Data]]="","",Kredyt1[[#This Row],[Cała rata]]-Kredyt1[[#This Row],[Kapitał]])</f>
        <v>920.34714469447488</v>
      </c>
      <c r="J98" s="74" cm="1">
        <f t="array" ref="J98">IFERROR(-PPMT(Kredyt1[[#This Row],[Oprocentowanie]]/12,Kredyt1[[#This Row],[Miesiąc kredytu]],IlośćRat,KwotaKredytu),"")</f>
        <v>635.70184225083688</v>
      </c>
      <c r="K98" s="75" cm="1">
        <f t="array" ref="K98">IF(Kredyt1[[#This Row],[Miesiąc kredytu]]="","",-PMT(Kredyt1[[#This Row],[Oprocentowanie]]/12,IlośćRat,KwotaKredytu))</f>
        <v>1556.0489869453118</v>
      </c>
      <c r="L98" s="75">
        <v>0</v>
      </c>
      <c r="M98" s="76">
        <f>IFERROR(M97-J98-Kredyt1[[#This Row],[Nadpłata]],"")</f>
        <v>275468.44156609173</v>
      </c>
    </row>
    <row r="99" spans="4:13">
      <c r="D99" s="70" cm="1">
        <f t="array" ref="D99">IF(ROW(94:94)&lt;=IlośćRat,ROW(94:94),"")</f>
        <v>94</v>
      </c>
      <c r="E99" s="70">
        <f>IFERROR(ROUNDUP(Kredyt1[[#This Row],[Miesiąc kredytu]]/12,0),"")</f>
        <v>8</v>
      </c>
      <c r="F99" s="71">
        <f t="shared" si="1"/>
        <v>46935</v>
      </c>
      <c r="G99" s="72" cm="1">
        <f t="array" ref="G99">IF(Kredyt1[[#This Row],[Data]]="","",WIBOR3M)</f>
        <v>0.02</v>
      </c>
      <c r="H99" s="72" cm="1">
        <f t="array" ref="H99">IF(Kredyt1[[#This Row],[Data]]="","",G99+MarżaBAnku)</f>
        <v>0.04</v>
      </c>
      <c r="I99" s="73">
        <f>IF(Kredyt1[[#This Row],[Data]]="","",Kredyt1[[#This Row],[Cała rata]]-Kredyt1[[#This Row],[Kapitał]])</f>
        <v>918.2281385536387</v>
      </c>
      <c r="J99" s="74" cm="1">
        <f t="array" ref="J99">IFERROR(-PPMT(Kredyt1[[#This Row],[Oprocentowanie]]/12,Kredyt1[[#This Row],[Miesiąc kredytu]],IlośćRat,KwotaKredytu),"")</f>
        <v>637.82084839167305</v>
      </c>
      <c r="K99" s="75" cm="1">
        <f t="array" ref="K99">IF(Kredyt1[[#This Row],[Miesiąc kredytu]]="","",-PMT(Kredyt1[[#This Row],[Oprocentowanie]]/12,IlośćRat,KwotaKredytu))</f>
        <v>1556.0489869453118</v>
      </c>
      <c r="L99" s="75">
        <v>0</v>
      </c>
      <c r="M99" s="76">
        <f>IFERROR(M98-J99-Kredyt1[[#This Row],[Nadpłata]],"")</f>
        <v>274830.62071770005</v>
      </c>
    </row>
    <row r="100" spans="4:13">
      <c r="D100" s="70" cm="1">
        <f t="array" ref="D100">IF(ROW(95:95)&lt;=IlośćRat,ROW(95:95),"")</f>
        <v>95</v>
      </c>
      <c r="E100" s="70">
        <f>IFERROR(ROUNDUP(Kredyt1[[#This Row],[Miesiąc kredytu]]/12,0),"")</f>
        <v>8</v>
      </c>
      <c r="F100" s="71">
        <f t="shared" si="1"/>
        <v>46966</v>
      </c>
      <c r="G100" s="72" cm="1">
        <f t="array" ref="G100">IF(Kredyt1[[#This Row],[Data]]="","",WIBOR3M)</f>
        <v>0.02</v>
      </c>
      <c r="H100" s="72" cm="1">
        <f t="array" ref="H100">IF(Kredyt1[[#This Row],[Data]]="","",G100+MarżaBAnku)</f>
        <v>0.04</v>
      </c>
      <c r="I100" s="73">
        <f>IF(Kredyt1[[#This Row],[Data]]="","",Kredyt1[[#This Row],[Cała rata]]-Kredyt1[[#This Row],[Kapitał]])</f>
        <v>916.10206905899986</v>
      </c>
      <c r="J100" s="74" cm="1">
        <f t="array" ref="J100">IFERROR(-PPMT(Kredyt1[[#This Row],[Oprocentowanie]]/12,Kredyt1[[#This Row],[Miesiąc kredytu]],IlośćRat,KwotaKredytu),"")</f>
        <v>639.94691788631189</v>
      </c>
      <c r="K100" s="75" cm="1">
        <f t="array" ref="K100">IF(Kredyt1[[#This Row],[Miesiąc kredytu]]="","",-PMT(Kredyt1[[#This Row],[Oprocentowanie]]/12,IlośćRat,KwotaKredytu))</f>
        <v>1556.0489869453118</v>
      </c>
      <c r="L100" s="75">
        <v>0</v>
      </c>
      <c r="M100" s="76">
        <f>IFERROR(M99-J100-Kredyt1[[#This Row],[Nadpłata]],"")</f>
        <v>274190.67379981373</v>
      </c>
    </row>
    <row r="101" spans="4:13">
      <c r="D101" s="70" cm="1">
        <f t="array" ref="D101">IF(ROW(96:96)&lt;=IlośćRat,ROW(96:96),"")</f>
        <v>96</v>
      </c>
      <c r="E101" s="70">
        <f>IFERROR(ROUNDUP(Kredyt1[[#This Row],[Miesiąc kredytu]]/12,0),"")</f>
        <v>8</v>
      </c>
      <c r="F101" s="71">
        <f t="shared" si="1"/>
        <v>46997</v>
      </c>
      <c r="G101" s="72" cm="1">
        <f t="array" ref="G101">IF(Kredyt1[[#This Row],[Data]]="","",WIBOR3M)</f>
        <v>0.02</v>
      </c>
      <c r="H101" s="72" cm="1">
        <f t="array" ref="H101">IF(Kredyt1[[#This Row],[Data]]="","",G101+MarżaBAnku)</f>
        <v>0.04</v>
      </c>
      <c r="I101" s="73">
        <f>IF(Kredyt1[[#This Row],[Data]]="","",Kredyt1[[#This Row],[Cała rata]]-Kredyt1[[#This Row],[Kapitał]])</f>
        <v>913.96891266604541</v>
      </c>
      <c r="J101" s="74" cm="1">
        <f t="array" ref="J101">IFERROR(-PPMT(Kredyt1[[#This Row],[Oprocentowanie]]/12,Kredyt1[[#This Row],[Miesiąc kredytu]],IlośćRat,KwotaKredytu),"")</f>
        <v>642.08007427926634</v>
      </c>
      <c r="K101" s="75" cm="1">
        <f t="array" ref="K101">IF(Kredyt1[[#This Row],[Miesiąc kredytu]]="","",-PMT(Kredyt1[[#This Row],[Oprocentowanie]]/12,IlośćRat,KwotaKredytu))</f>
        <v>1556.0489869453118</v>
      </c>
      <c r="L101" s="75">
        <v>0</v>
      </c>
      <c r="M101" s="76">
        <f>IFERROR(M100-J101-Kredyt1[[#This Row],[Nadpłata]],"")</f>
        <v>273548.59372553445</v>
      </c>
    </row>
    <row r="102" spans="4:13">
      <c r="D102" s="70" cm="1">
        <f t="array" ref="D102">IF(ROW(97:97)&lt;=IlośćRat,ROW(97:97),"")</f>
        <v>97</v>
      </c>
      <c r="E102" s="70">
        <f>IFERROR(ROUNDUP(Kredyt1[[#This Row],[Miesiąc kredytu]]/12,0),"")</f>
        <v>9</v>
      </c>
      <c r="F102" s="71">
        <f t="shared" si="1"/>
        <v>47027</v>
      </c>
      <c r="G102" s="72" cm="1">
        <f t="array" ref="G102">IF(Kredyt1[[#This Row],[Data]]="","",WIBOR3M)</f>
        <v>0.02</v>
      </c>
      <c r="H102" s="72" cm="1">
        <f t="array" ref="H102">IF(Kredyt1[[#This Row],[Data]]="","",G102+MarżaBAnku)</f>
        <v>0.04</v>
      </c>
      <c r="I102" s="73">
        <f>IF(Kredyt1[[#This Row],[Data]]="","",Kredyt1[[#This Row],[Cała rata]]-Kredyt1[[#This Row],[Kapitał]])</f>
        <v>911.82864575178132</v>
      </c>
      <c r="J102" s="74" cm="1">
        <f t="array" ref="J102">IFERROR(-PPMT(Kredyt1[[#This Row],[Oprocentowanie]]/12,Kredyt1[[#This Row],[Miesiąc kredytu]],IlośćRat,KwotaKredytu),"")</f>
        <v>644.22034119353043</v>
      </c>
      <c r="K102" s="75" cm="1">
        <f t="array" ref="K102">IF(Kredyt1[[#This Row],[Miesiąc kredytu]]="","",-PMT(Kredyt1[[#This Row],[Oprocentowanie]]/12,IlośćRat,KwotaKredytu))</f>
        <v>1556.0489869453118</v>
      </c>
      <c r="L102" s="75">
        <v>0</v>
      </c>
      <c r="M102" s="76">
        <f>IFERROR(M101-J102-Kredyt1[[#This Row],[Nadpłata]],"")</f>
        <v>272904.3733843409</v>
      </c>
    </row>
    <row r="103" spans="4:13">
      <c r="D103" s="70" cm="1">
        <f t="array" ref="D103">IF(ROW(98:98)&lt;=IlośćRat,ROW(98:98),"")</f>
        <v>98</v>
      </c>
      <c r="E103" s="70">
        <f>IFERROR(ROUNDUP(Kredyt1[[#This Row],[Miesiąc kredytu]]/12,0),"")</f>
        <v>9</v>
      </c>
      <c r="F103" s="71">
        <f t="shared" si="1"/>
        <v>47058</v>
      </c>
      <c r="G103" s="72" cm="1">
        <f t="array" ref="G103">IF(Kredyt1[[#This Row],[Data]]="","",WIBOR3M)</f>
        <v>0.02</v>
      </c>
      <c r="H103" s="72" cm="1">
        <f t="array" ref="H103">IF(Kredyt1[[#This Row],[Data]]="","",G103+MarżaBAnku)</f>
        <v>0.04</v>
      </c>
      <c r="I103" s="73">
        <f>IF(Kredyt1[[#This Row],[Data]]="","",Kredyt1[[#This Row],[Cała rata]]-Kredyt1[[#This Row],[Kapitał]])</f>
        <v>909.68124461446951</v>
      </c>
      <c r="J103" s="74" cm="1">
        <f t="array" ref="J103">IFERROR(-PPMT(Kredyt1[[#This Row],[Oprocentowanie]]/12,Kredyt1[[#This Row],[Miesiąc kredytu]],IlośćRat,KwotaKredytu),"")</f>
        <v>646.36774233084225</v>
      </c>
      <c r="K103" s="75" cm="1">
        <f t="array" ref="K103">IF(Kredyt1[[#This Row],[Miesiąc kredytu]]="","",-PMT(Kredyt1[[#This Row],[Oprocentowanie]]/12,IlośćRat,KwotaKredytu))</f>
        <v>1556.0489869453118</v>
      </c>
      <c r="L103" s="75">
        <v>0</v>
      </c>
      <c r="M103" s="76">
        <f>IFERROR(M102-J103-Kredyt1[[#This Row],[Nadpłata]],"")</f>
        <v>272258.00564201007</v>
      </c>
    </row>
    <row r="104" spans="4:13">
      <c r="D104" s="70" cm="1">
        <f t="array" ref="D104">IF(ROW(99:99)&lt;=IlośćRat,ROW(99:99),"")</f>
        <v>99</v>
      </c>
      <c r="E104" s="70">
        <f>IFERROR(ROUNDUP(Kredyt1[[#This Row],[Miesiąc kredytu]]/12,0),"")</f>
        <v>9</v>
      </c>
      <c r="F104" s="71">
        <f t="shared" si="1"/>
        <v>47088</v>
      </c>
      <c r="G104" s="72" cm="1">
        <f t="array" ref="G104">IF(Kredyt1[[#This Row],[Data]]="","",WIBOR3M)</f>
        <v>0.02</v>
      </c>
      <c r="H104" s="72" cm="1">
        <f t="array" ref="H104">IF(Kredyt1[[#This Row],[Data]]="","",G104+MarżaBAnku)</f>
        <v>0.04</v>
      </c>
      <c r="I104" s="73">
        <f>IF(Kredyt1[[#This Row],[Data]]="","",Kredyt1[[#This Row],[Cała rata]]-Kredyt1[[#This Row],[Kapitał]])</f>
        <v>907.52668547336668</v>
      </c>
      <c r="J104" s="74" cm="1">
        <f t="array" ref="J104">IFERROR(-PPMT(Kredyt1[[#This Row],[Oprocentowanie]]/12,Kredyt1[[#This Row],[Miesiąc kredytu]],IlośćRat,KwotaKredytu),"")</f>
        <v>648.52230147194507</v>
      </c>
      <c r="K104" s="75" cm="1">
        <f t="array" ref="K104">IF(Kredyt1[[#This Row],[Miesiąc kredytu]]="","",-PMT(Kredyt1[[#This Row],[Oprocentowanie]]/12,IlośćRat,KwotaKredytu))</f>
        <v>1556.0489869453118</v>
      </c>
      <c r="L104" s="75">
        <v>0</v>
      </c>
      <c r="M104" s="76">
        <f>IFERROR(M103-J104-Kredyt1[[#This Row],[Nadpłata]],"")</f>
        <v>271609.48334053811</v>
      </c>
    </row>
    <row r="105" spans="4:13">
      <c r="D105" s="70" cm="1">
        <f t="array" ref="D105">IF(ROW(100:100)&lt;=IlośćRat,ROW(100:100),"")</f>
        <v>100</v>
      </c>
      <c r="E105" s="70">
        <f>IFERROR(ROUNDUP(Kredyt1[[#This Row],[Miesiąc kredytu]]/12,0),"")</f>
        <v>9</v>
      </c>
      <c r="F105" s="71">
        <f t="shared" si="1"/>
        <v>47119</v>
      </c>
      <c r="G105" s="72" cm="1">
        <f t="array" ref="G105">IF(Kredyt1[[#This Row],[Data]]="","",WIBOR3M)</f>
        <v>0.02</v>
      </c>
      <c r="H105" s="72" cm="1">
        <f t="array" ref="H105">IF(Kredyt1[[#This Row],[Data]]="","",G105+MarżaBAnku)</f>
        <v>0.04</v>
      </c>
      <c r="I105" s="73">
        <f>IF(Kredyt1[[#This Row],[Data]]="","",Kredyt1[[#This Row],[Cała rata]]-Kredyt1[[#This Row],[Kapitał]])</f>
        <v>905.36494446846007</v>
      </c>
      <c r="J105" s="74" cm="1">
        <f t="array" ref="J105">IFERROR(-PPMT(Kredyt1[[#This Row],[Oprocentowanie]]/12,Kredyt1[[#This Row],[Miesiąc kredytu]],IlośćRat,KwotaKredytu),"")</f>
        <v>650.68404247685169</v>
      </c>
      <c r="K105" s="75" cm="1">
        <f t="array" ref="K105">IF(Kredyt1[[#This Row],[Miesiąc kredytu]]="","",-PMT(Kredyt1[[#This Row],[Oprocentowanie]]/12,IlośćRat,KwotaKredytu))</f>
        <v>1556.0489869453118</v>
      </c>
      <c r="L105" s="75">
        <v>0</v>
      </c>
      <c r="M105" s="76">
        <f>IFERROR(M104-J105-Kredyt1[[#This Row],[Nadpłata]],"")</f>
        <v>270958.79929806123</v>
      </c>
    </row>
    <row r="106" spans="4:13">
      <c r="D106" s="70" cm="1">
        <f t="array" ref="D106">IF(ROW(101:101)&lt;=IlośćRat,ROW(101:101),"")</f>
        <v>101</v>
      </c>
      <c r="E106" s="70">
        <f>IFERROR(ROUNDUP(Kredyt1[[#This Row],[Miesiąc kredytu]]/12,0),"")</f>
        <v>9</v>
      </c>
      <c r="F106" s="71">
        <f t="shared" si="1"/>
        <v>47150</v>
      </c>
      <c r="G106" s="72" cm="1">
        <f t="array" ref="G106">IF(Kredyt1[[#This Row],[Data]]="","",WIBOR3M)</f>
        <v>0.02</v>
      </c>
      <c r="H106" s="72" cm="1">
        <f t="array" ref="H106">IF(Kredyt1[[#This Row],[Data]]="","",G106+MarżaBAnku)</f>
        <v>0.04</v>
      </c>
      <c r="I106" s="73">
        <f>IF(Kredyt1[[#This Row],[Data]]="","",Kredyt1[[#This Row],[Cała rata]]-Kredyt1[[#This Row],[Kapitał]])</f>
        <v>903.19599766020406</v>
      </c>
      <c r="J106" s="74" cm="1">
        <f t="array" ref="J106">IFERROR(-PPMT(Kredyt1[[#This Row],[Oprocentowanie]]/12,Kredyt1[[#This Row],[Miesiąc kredytu]],IlośćRat,KwotaKredytu),"")</f>
        <v>652.8529892851077</v>
      </c>
      <c r="K106" s="75" cm="1">
        <f t="array" ref="K106">IF(Kredyt1[[#This Row],[Miesiąc kredytu]]="","",-PMT(Kredyt1[[#This Row],[Oprocentowanie]]/12,IlośćRat,KwotaKredytu))</f>
        <v>1556.0489869453118</v>
      </c>
      <c r="L106" s="75">
        <v>0</v>
      </c>
      <c r="M106" s="76">
        <f>IFERROR(M105-J106-Kredyt1[[#This Row],[Nadpłata]],"")</f>
        <v>270305.9463087761</v>
      </c>
    </row>
    <row r="107" spans="4:13">
      <c r="D107" s="70" cm="1">
        <f t="array" ref="D107">IF(ROW(102:102)&lt;=IlośćRat,ROW(102:102),"")</f>
        <v>102</v>
      </c>
      <c r="E107" s="70">
        <f>IFERROR(ROUNDUP(Kredyt1[[#This Row],[Miesiąc kredytu]]/12,0),"")</f>
        <v>9</v>
      </c>
      <c r="F107" s="71">
        <f t="shared" si="1"/>
        <v>47178</v>
      </c>
      <c r="G107" s="72" cm="1">
        <f t="array" ref="G107">IF(Kredyt1[[#This Row],[Data]]="","",WIBOR3M)</f>
        <v>0.02</v>
      </c>
      <c r="H107" s="72" cm="1">
        <f t="array" ref="H107">IF(Kredyt1[[#This Row],[Data]]="","",G107+MarżaBAnku)</f>
        <v>0.04</v>
      </c>
      <c r="I107" s="73">
        <f>IF(Kredyt1[[#This Row],[Data]]="","",Kredyt1[[#This Row],[Cała rata]]-Kredyt1[[#This Row],[Kapitał]])</f>
        <v>901.01982102925365</v>
      </c>
      <c r="J107" s="74" cm="1">
        <f t="array" ref="J107">IFERROR(-PPMT(Kredyt1[[#This Row],[Oprocentowanie]]/12,Kredyt1[[#This Row],[Miesiąc kredytu]],IlośćRat,KwotaKredytu),"")</f>
        <v>655.0291659160581</v>
      </c>
      <c r="K107" s="75" cm="1">
        <f t="array" ref="K107">IF(Kredyt1[[#This Row],[Miesiąc kredytu]]="","",-PMT(Kredyt1[[#This Row],[Oprocentowanie]]/12,IlośćRat,KwotaKredytu))</f>
        <v>1556.0489869453118</v>
      </c>
      <c r="L107" s="75">
        <v>0</v>
      </c>
      <c r="M107" s="76">
        <f>IFERROR(M106-J107-Kredyt1[[#This Row],[Nadpłata]],"")</f>
        <v>269650.91714286001</v>
      </c>
    </row>
    <row r="108" spans="4:13">
      <c r="D108" s="70" cm="1">
        <f t="array" ref="D108">IF(ROW(103:103)&lt;=IlośćRat,ROW(103:103),"")</f>
        <v>103</v>
      </c>
      <c r="E108" s="70">
        <f>IFERROR(ROUNDUP(Kredyt1[[#This Row],[Miesiąc kredytu]]/12,0),"")</f>
        <v>9</v>
      </c>
      <c r="F108" s="71">
        <f t="shared" si="1"/>
        <v>47209</v>
      </c>
      <c r="G108" s="72" cm="1">
        <f t="array" ref="G108">IF(Kredyt1[[#This Row],[Data]]="","",WIBOR3M)</f>
        <v>0.02</v>
      </c>
      <c r="H108" s="72" cm="1">
        <f t="array" ref="H108">IF(Kredyt1[[#This Row],[Data]]="","",G108+MarżaBAnku)</f>
        <v>0.04</v>
      </c>
      <c r="I108" s="73">
        <f>IF(Kredyt1[[#This Row],[Data]]="","",Kredyt1[[#This Row],[Cała rata]]-Kredyt1[[#This Row],[Kapitał]])</f>
        <v>898.83639047620011</v>
      </c>
      <c r="J108" s="74" cm="1">
        <f t="array" ref="J108">IFERROR(-PPMT(Kredyt1[[#This Row],[Oprocentowanie]]/12,Kredyt1[[#This Row],[Miesiąc kredytu]],IlośćRat,KwotaKredytu),"")</f>
        <v>657.21259646911165</v>
      </c>
      <c r="K108" s="75" cm="1">
        <f t="array" ref="K108">IF(Kredyt1[[#This Row],[Miesiąc kredytu]]="","",-PMT(Kredyt1[[#This Row],[Oprocentowanie]]/12,IlośćRat,KwotaKredytu))</f>
        <v>1556.0489869453118</v>
      </c>
      <c r="L108" s="75">
        <v>0</v>
      </c>
      <c r="M108" s="76">
        <f>IFERROR(M107-J108-Kredyt1[[#This Row],[Nadpłata]],"")</f>
        <v>268993.70454639092</v>
      </c>
    </row>
    <row r="109" spans="4:13">
      <c r="D109" s="70" cm="1">
        <f t="array" ref="D109">IF(ROW(104:104)&lt;=IlośćRat,ROW(104:104),"")</f>
        <v>104</v>
      </c>
      <c r="E109" s="70">
        <f>IFERROR(ROUNDUP(Kredyt1[[#This Row],[Miesiąc kredytu]]/12,0),"")</f>
        <v>9</v>
      </c>
      <c r="F109" s="71">
        <f t="shared" si="1"/>
        <v>47239</v>
      </c>
      <c r="G109" s="72" cm="1">
        <f t="array" ref="G109">IF(Kredyt1[[#This Row],[Data]]="","",WIBOR3M)</f>
        <v>0.02</v>
      </c>
      <c r="H109" s="72" cm="1">
        <f t="array" ref="H109">IF(Kredyt1[[#This Row],[Data]]="","",G109+MarżaBAnku)</f>
        <v>0.04</v>
      </c>
      <c r="I109" s="73">
        <f>IF(Kredyt1[[#This Row],[Data]]="","",Kredyt1[[#This Row],[Cała rata]]-Kredyt1[[#This Row],[Kapitał]])</f>
        <v>896.64568182130301</v>
      </c>
      <c r="J109" s="74" cm="1">
        <f t="array" ref="J109">IFERROR(-PPMT(Kredyt1[[#This Row],[Oprocentowanie]]/12,Kredyt1[[#This Row],[Miesiąc kredytu]],IlośćRat,KwotaKredytu),"")</f>
        <v>659.40330512400874</v>
      </c>
      <c r="K109" s="75" cm="1">
        <f t="array" ref="K109">IF(Kredyt1[[#This Row],[Miesiąc kredytu]]="","",-PMT(Kredyt1[[#This Row],[Oprocentowanie]]/12,IlośćRat,KwotaKredytu))</f>
        <v>1556.0489869453118</v>
      </c>
      <c r="L109" s="75">
        <v>0</v>
      </c>
      <c r="M109" s="76">
        <f>IFERROR(M108-J109-Kredyt1[[#This Row],[Nadpłata]],"")</f>
        <v>268334.30124126689</v>
      </c>
    </row>
    <row r="110" spans="4:13">
      <c r="D110" s="70" cm="1">
        <f t="array" ref="D110">IF(ROW(105:105)&lt;=IlośćRat,ROW(105:105),"")</f>
        <v>105</v>
      </c>
      <c r="E110" s="70">
        <f>IFERROR(ROUNDUP(Kredyt1[[#This Row],[Miesiąc kredytu]]/12,0),"")</f>
        <v>9</v>
      </c>
      <c r="F110" s="71">
        <f t="shared" si="1"/>
        <v>47270</v>
      </c>
      <c r="G110" s="72" cm="1">
        <f t="array" ref="G110">IF(Kredyt1[[#This Row],[Data]]="","",WIBOR3M)</f>
        <v>0.02</v>
      </c>
      <c r="H110" s="72" cm="1">
        <f t="array" ref="H110">IF(Kredyt1[[#This Row],[Data]]="","",G110+MarżaBAnku)</f>
        <v>0.04</v>
      </c>
      <c r="I110" s="73">
        <f>IF(Kredyt1[[#This Row],[Data]]="","",Kredyt1[[#This Row],[Cała rata]]-Kredyt1[[#This Row],[Kapitał]])</f>
        <v>894.44767080422309</v>
      </c>
      <c r="J110" s="74" cm="1">
        <f t="array" ref="J110">IFERROR(-PPMT(Kredyt1[[#This Row],[Oprocentowanie]]/12,Kredyt1[[#This Row],[Miesiąc kredytu]],IlośćRat,KwotaKredytu),"")</f>
        <v>661.60131614108866</v>
      </c>
      <c r="K110" s="75" cm="1">
        <f t="array" ref="K110">IF(Kredyt1[[#This Row],[Miesiąc kredytu]]="","",-PMT(Kredyt1[[#This Row],[Oprocentowanie]]/12,IlośćRat,KwotaKredytu))</f>
        <v>1556.0489869453118</v>
      </c>
      <c r="L110" s="75">
        <v>0</v>
      </c>
      <c r="M110" s="76">
        <f>IFERROR(M109-J110-Kredyt1[[#This Row],[Nadpłata]],"")</f>
        <v>267672.69992512581</v>
      </c>
    </row>
    <row r="111" spans="4:13">
      <c r="D111" s="70" cm="1">
        <f t="array" ref="D111">IF(ROW(106:106)&lt;=IlośćRat,ROW(106:106),"")</f>
        <v>106</v>
      </c>
      <c r="E111" s="70">
        <f>IFERROR(ROUNDUP(Kredyt1[[#This Row],[Miesiąc kredytu]]/12,0),"")</f>
        <v>9</v>
      </c>
      <c r="F111" s="71">
        <f t="shared" si="1"/>
        <v>47300</v>
      </c>
      <c r="G111" s="72" cm="1">
        <f t="array" ref="G111">IF(Kredyt1[[#This Row],[Data]]="","",WIBOR3M)</f>
        <v>0.02</v>
      </c>
      <c r="H111" s="72" cm="1">
        <f t="array" ref="H111">IF(Kredyt1[[#This Row],[Data]]="","",G111+MarżaBAnku)</f>
        <v>0.04</v>
      </c>
      <c r="I111" s="73">
        <f>IF(Kredyt1[[#This Row],[Data]]="","",Kredyt1[[#This Row],[Cała rata]]-Kredyt1[[#This Row],[Kapitał]])</f>
        <v>892.24233308375278</v>
      </c>
      <c r="J111" s="74" cm="1">
        <f t="array" ref="J111">IFERROR(-PPMT(Kredyt1[[#This Row],[Oprocentowanie]]/12,Kredyt1[[#This Row],[Miesiąc kredytu]],IlośćRat,KwotaKredytu),"")</f>
        <v>663.80665386155897</v>
      </c>
      <c r="K111" s="75" cm="1">
        <f t="array" ref="K111">IF(Kredyt1[[#This Row],[Miesiąc kredytu]]="","",-PMT(Kredyt1[[#This Row],[Oprocentowanie]]/12,IlośćRat,KwotaKredytu))</f>
        <v>1556.0489869453118</v>
      </c>
      <c r="L111" s="75">
        <v>0</v>
      </c>
      <c r="M111" s="76">
        <f>IFERROR(M110-J111-Kredyt1[[#This Row],[Nadpłata]],"")</f>
        <v>267008.89327126427</v>
      </c>
    </row>
    <row r="112" spans="4:13">
      <c r="D112" s="70" cm="1">
        <f t="array" ref="D112">IF(ROW(107:107)&lt;=IlośćRat,ROW(107:107),"")</f>
        <v>107</v>
      </c>
      <c r="E112" s="70">
        <f>IFERROR(ROUNDUP(Kredyt1[[#This Row],[Miesiąc kredytu]]/12,0),"")</f>
        <v>9</v>
      </c>
      <c r="F112" s="71">
        <f t="shared" si="1"/>
        <v>47331</v>
      </c>
      <c r="G112" s="72" cm="1">
        <f t="array" ref="G112">IF(Kredyt1[[#This Row],[Data]]="","",WIBOR3M)</f>
        <v>0.02</v>
      </c>
      <c r="H112" s="72" cm="1">
        <f t="array" ref="H112">IF(Kredyt1[[#This Row],[Data]]="","",G112+MarżaBAnku)</f>
        <v>0.04</v>
      </c>
      <c r="I112" s="73">
        <f>IF(Kredyt1[[#This Row],[Data]]="","",Kredyt1[[#This Row],[Cała rata]]-Kredyt1[[#This Row],[Kapitał]])</f>
        <v>890.02964423754759</v>
      </c>
      <c r="J112" s="74" cm="1">
        <f t="array" ref="J112">IFERROR(-PPMT(Kredyt1[[#This Row],[Oprocentowanie]]/12,Kredyt1[[#This Row],[Miesiąc kredytu]],IlośćRat,KwotaKredytu),"")</f>
        <v>666.01934270776417</v>
      </c>
      <c r="K112" s="75" cm="1">
        <f t="array" ref="K112">IF(Kredyt1[[#This Row],[Miesiąc kredytu]]="","",-PMT(Kredyt1[[#This Row],[Oprocentowanie]]/12,IlośćRat,KwotaKredytu))</f>
        <v>1556.0489869453118</v>
      </c>
      <c r="L112" s="75">
        <v>0</v>
      </c>
      <c r="M112" s="76">
        <f>IFERROR(M111-J112-Kredyt1[[#This Row],[Nadpłata]],"")</f>
        <v>266342.87392855651</v>
      </c>
    </row>
    <row r="113" spans="4:13">
      <c r="D113" s="70" cm="1">
        <f t="array" ref="D113">IF(ROW(108:108)&lt;=IlośćRat,ROW(108:108),"")</f>
        <v>108</v>
      </c>
      <c r="E113" s="70">
        <f>IFERROR(ROUNDUP(Kredyt1[[#This Row],[Miesiąc kredytu]]/12,0),"")</f>
        <v>9</v>
      </c>
      <c r="F113" s="71">
        <f t="shared" si="1"/>
        <v>47362</v>
      </c>
      <c r="G113" s="72" cm="1">
        <f t="array" ref="G113">IF(Kredyt1[[#This Row],[Data]]="","",WIBOR3M)</f>
        <v>0.02</v>
      </c>
      <c r="H113" s="72" cm="1">
        <f t="array" ref="H113">IF(Kredyt1[[#This Row],[Data]]="","",G113+MarżaBAnku)</f>
        <v>0.04</v>
      </c>
      <c r="I113" s="73">
        <f>IF(Kredyt1[[#This Row],[Data]]="","",Kredyt1[[#This Row],[Cała rata]]-Kredyt1[[#This Row],[Kapitał]])</f>
        <v>887.80957976185505</v>
      </c>
      <c r="J113" s="74" cm="1">
        <f t="array" ref="J113">IFERROR(-PPMT(Kredyt1[[#This Row],[Oprocentowanie]]/12,Kredyt1[[#This Row],[Miesiąc kredytu]],IlośćRat,KwotaKredytu),"")</f>
        <v>668.23940718345671</v>
      </c>
      <c r="K113" s="75" cm="1">
        <f t="array" ref="K113">IF(Kredyt1[[#This Row],[Miesiąc kredytu]]="","",-PMT(Kredyt1[[#This Row],[Oprocentowanie]]/12,IlośćRat,KwotaKredytu))</f>
        <v>1556.0489869453118</v>
      </c>
      <c r="L113" s="75">
        <v>0</v>
      </c>
      <c r="M113" s="76">
        <f>IFERROR(M112-J113-Kredyt1[[#This Row],[Nadpłata]],"")</f>
        <v>265674.63452137308</v>
      </c>
    </row>
    <row r="114" spans="4:13">
      <c r="D114" s="70" cm="1">
        <f t="array" ref="D114">IF(ROW(109:109)&lt;=IlośćRat,ROW(109:109),"")</f>
        <v>109</v>
      </c>
      <c r="E114" s="70">
        <f>IFERROR(ROUNDUP(Kredyt1[[#This Row],[Miesiąc kredytu]]/12,0),"")</f>
        <v>10</v>
      </c>
      <c r="F114" s="71">
        <f t="shared" si="1"/>
        <v>47392</v>
      </c>
      <c r="G114" s="72" cm="1">
        <f t="array" ref="G114">IF(Kredyt1[[#This Row],[Data]]="","",WIBOR3M)</f>
        <v>0.02</v>
      </c>
      <c r="H114" s="72" cm="1">
        <f t="array" ref="H114">IF(Kredyt1[[#This Row],[Data]]="","",G114+MarżaBAnku)</f>
        <v>0.04</v>
      </c>
      <c r="I114" s="73">
        <f>IF(Kredyt1[[#This Row],[Data]]="","",Kredyt1[[#This Row],[Cała rata]]-Kredyt1[[#This Row],[Kapitał]])</f>
        <v>885.58211507124349</v>
      </c>
      <c r="J114" s="74" cm="1">
        <f t="array" ref="J114">IFERROR(-PPMT(Kredyt1[[#This Row],[Oprocentowanie]]/12,Kredyt1[[#This Row],[Miesiąc kredytu]],IlośćRat,KwotaKredytu),"")</f>
        <v>670.46687187406826</v>
      </c>
      <c r="K114" s="75" cm="1">
        <f t="array" ref="K114">IF(Kredyt1[[#This Row],[Miesiąc kredytu]]="","",-PMT(Kredyt1[[#This Row],[Oprocentowanie]]/12,IlośćRat,KwotaKredytu))</f>
        <v>1556.0489869453118</v>
      </c>
      <c r="L114" s="75">
        <v>0</v>
      </c>
      <c r="M114" s="76">
        <f>IFERROR(M113-J114-Kredyt1[[#This Row],[Nadpłata]],"")</f>
        <v>265004.16764949902</v>
      </c>
    </row>
    <row r="115" spans="4:13">
      <c r="D115" s="70" cm="1">
        <f t="array" ref="D115">IF(ROW(110:110)&lt;=IlośćRat,ROW(110:110),"")</f>
        <v>110</v>
      </c>
      <c r="E115" s="70">
        <f>IFERROR(ROUNDUP(Kredyt1[[#This Row],[Miesiąc kredytu]]/12,0),"")</f>
        <v>10</v>
      </c>
      <c r="F115" s="71">
        <f t="shared" si="1"/>
        <v>47423</v>
      </c>
      <c r="G115" s="72" cm="1">
        <f t="array" ref="G115">IF(Kredyt1[[#This Row],[Data]]="","",WIBOR3M)</f>
        <v>0.02</v>
      </c>
      <c r="H115" s="72" cm="1">
        <f t="array" ref="H115">IF(Kredyt1[[#This Row],[Data]]="","",G115+MarżaBAnku)</f>
        <v>0.04</v>
      </c>
      <c r="I115" s="73">
        <f>IF(Kredyt1[[#This Row],[Data]]="","",Kredyt1[[#This Row],[Cała rata]]-Kredyt1[[#This Row],[Kapitał]])</f>
        <v>883.34722549832998</v>
      </c>
      <c r="J115" s="74" cm="1">
        <f t="array" ref="J115">IFERROR(-PPMT(Kredyt1[[#This Row],[Oprocentowanie]]/12,Kredyt1[[#This Row],[Miesiąc kredytu]],IlośćRat,KwotaKredytu),"")</f>
        <v>672.70176144698178</v>
      </c>
      <c r="K115" s="75" cm="1">
        <f t="array" ref="K115">IF(Kredyt1[[#This Row],[Miesiąc kredytu]]="","",-PMT(Kredyt1[[#This Row],[Oprocentowanie]]/12,IlośćRat,KwotaKredytu))</f>
        <v>1556.0489869453118</v>
      </c>
      <c r="L115" s="75">
        <v>0</v>
      </c>
      <c r="M115" s="76">
        <f>IFERROR(M114-J115-Kredyt1[[#This Row],[Nadpłata]],"")</f>
        <v>264331.46588805201</v>
      </c>
    </row>
    <row r="116" spans="4:13">
      <c r="D116" s="70" cm="1">
        <f t="array" ref="D116">IF(ROW(111:111)&lt;=IlośćRat,ROW(111:111),"")</f>
        <v>111</v>
      </c>
      <c r="E116" s="70">
        <f>IFERROR(ROUNDUP(Kredyt1[[#This Row],[Miesiąc kredytu]]/12,0),"")</f>
        <v>10</v>
      </c>
      <c r="F116" s="71">
        <f t="shared" si="1"/>
        <v>47453</v>
      </c>
      <c r="G116" s="72" cm="1">
        <f t="array" ref="G116">IF(Kredyt1[[#This Row],[Data]]="","",WIBOR3M)</f>
        <v>0.02</v>
      </c>
      <c r="H116" s="72" cm="1">
        <f t="array" ref="H116">IF(Kredyt1[[#This Row],[Data]]="","",G116+MarżaBAnku)</f>
        <v>0.04</v>
      </c>
      <c r="I116" s="73">
        <f>IF(Kredyt1[[#This Row],[Data]]="","",Kredyt1[[#This Row],[Cała rata]]-Kredyt1[[#This Row],[Kapitał]])</f>
        <v>881.10488629350664</v>
      </c>
      <c r="J116" s="74" cm="1">
        <f t="array" ref="J116">IFERROR(-PPMT(Kredyt1[[#This Row],[Oprocentowanie]]/12,Kredyt1[[#This Row],[Miesiąc kredytu]],IlośćRat,KwotaKredytu),"")</f>
        <v>674.94410065180512</v>
      </c>
      <c r="K116" s="75" cm="1">
        <f t="array" ref="K116">IF(Kredyt1[[#This Row],[Miesiąc kredytu]]="","",-PMT(Kredyt1[[#This Row],[Oprocentowanie]]/12,IlośćRat,KwotaKredytu))</f>
        <v>1556.0489869453118</v>
      </c>
      <c r="L116" s="75">
        <v>0</v>
      </c>
      <c r="M116" s="76">
        <f>IFERROR(M115-J116-Kredyt1[[#This Row],[Nadpłata]],"")</f>
        <v>263656.52178740018</v>
      </c>
    </row>
    <row r="117" spans="4:13">
      <c r="D117" s="70" cm="1">
        <f t="array" ref="D117">IF(ROW(112:112)&lt;=IlośćRat,ROW(112:112),"")</f>
        <v>112</v>
      </c>
      <c r="E117" s="70">
        <f>IFERROR(ROUNDUP(Kredyt1[[#This Row],[Miesiąc kredytu]]/12,0),"")</f>
        <v>10</v>
      </c>
      <c r="F117" s="71">
        <f t="shared" si="1"/>
        <v>47484</v>
      </c>
      <c r="G117" s="72" cm="1">
        <f t="array" ref="G117">IF(Kredyt1[[#This Row],[Data]]="","",WIBOR3M)</f>
        <v>0.02</v>
      </c>
      <c r="H117" s="72" cm="1">
        <f t="array" ref="H117">IF(Kredyt1[[#This Row],[Data]]="","",G117+MarżaBAnku)</f>
        <v>0.04</v>
      </c>
      <c r="I117" s="73">
        <f>IF(Kredyt1[[#This Row],[Data]]="","",Kredyt1[[#This Row],[Cała rata]]-Kredyt1[[#This Row],[Kapitał]])</f>
        <v>878.8550726246674</v>
      </c>
      <c r="J117" s="74" cm="1">
        <f t="array" ref="J117">IFERROR(-PPMT(Kredyt1[[#This Row],[Oprocentowanie]]/12,Kredyt1[[#This Row],[Miesiąc kredytu]],IlośćRat,KwotaKredytu),"")</f>
        <v>677.19391432064435</v>
      </c>
      <c r="K117" s="75" cm="1">
        <f t="array" ref="K117">IF(Kredyt1[[#This Row],[Miesiąc kredytu]]="","",-PMT(Kredyt1[[#This Row],[Oprocentowanie]]/12,IlośćRat,KwotaKredytu))</f>
        <v>1556.0489869453118</v>
      </c>
      <c r="L117" s="75">
        <v>0</v>
      </c>
      <c r="M117" s="76">
        <f>IFERROR(M116-J117-Kredyt1[[#This Row],[Nadpłata]],"")</f>
        <v>262979.32787307951</v>
      </c>
    </row>
    <row r="118" spans="4:13">
      <c r="D118" s="70" cm="1">
        <f t="array" ref="D118">IF(ROW(113:113)&lt;=IlośćRat,ROW(113:113),"")</f>
        <v>113</v>
      </c>
      <c r="E118" s="70">
        <f>IFERROR(ROUNDUP(Kredyt1[[#This Row],[Miesiąc kredytu]]/12,0),"")</f>
        <v>10</v>
      </c>
      <c r="F118" s="71">
        <f t="shared" si="1"/>
        <v>47515</v>
      </c>
      <c r="G118" s="72" cm="1">
        <f t="array" ref="G118">IF(Kredyt1[[#This Row],[Data]]="","",WIBOR3M)</f>
        <v>0.02</v>
      </c>
      <c r="H118" s="72" cm="1">
        <f t="array" ref="H118">IF(Kredyt1[[#This Row],[Data]]="","",G118+MarżaBAnku)</f>
        <v>0.04</v>
      </c>
      <c r="I118" s="73">
        <f>IF(Kredyt1[[#This Row],[Data]]="","",Kredyt1[[#This Row],[Cała rata]]-Kredyt1[[#This Row],[Kapitał]])</f>
        <v>876.59775957693182</v>
      </c>
      <c r="J118" s="74" cm="1">
        <f t="array" ref="J118">IFERROR(-PPMT(Kredyt1[[#This Row],[Oprocentowanie]]/12,Kredyt1[[#This Row],[Miesiąc kredytu]],IlośćRat,KwotaKredytu),"")</f>
        <v>679.45122736837993</v>
      </c>
      <c r="K118" s="75" cm="1">
        <f t="array" ref="K118">IF(Kredyt1[[#This Row],[Miesiąc kredytu]]="","",-PMT(Kredyt1[[#This Row],[Oprocentowanie]]/12,IlośćRat,KwotaKredytu))</f>
        <v>1556.0489869453118</v>
      </c>
      <c r="L118" s="75">
        <v>0</v>
      </c>
      <c r="M118" s="76">
        <f>IFERROR(M117-J118-Kredyt1[[#This Row],[Nadpłata]],"")</f>
        <v>262299.87664571113</v>
      </c>
    </row>
    <row r="119" spans="4:13">
      <c r="D119" s="70" cm="1">
        <f t="array" ref="D119">IF(ROW(114:114)&lt;=IlośćRat,ROW(114:114),"")</f>
        <v>114</v>
      </c>
      <c r="E119" s="70">
        <f>IFERROR(ROUNDUP(Kredyt1[[#This Row],[Miesiąc kredytu]]/12,0),"")</f>
        <v>10</v>
      </c>
      <c r="F119" s="71">
        <f t="shared" si="1"/>
        <v>47543</v>
      </c>
      <c r="G119" s="72" cm="1">
        <f t="array" ref="G119">IF(Kredyt1[[#This Row],[Data]]="","",WIBOR3M)</f>
        <v>0.02</v>
      </c>
      <c r="H119" s="72" cm="1">
        <f t="array" ref="H119">IF(Kredyt1[[#This Row],[Data]]="","",G119+MarżaBAnku)</f>
        <v>0.04</v>
      </c>
      <c r="I119" s="73">
        <f>IF(Kredyt1[[#This Row],[Data]]="","",Kredyt1[[#This Row],[Cała rata]]-Kredyt1[[#This Row],[Kapitał]])</f>
        <v>874.33292215237054</v>
      </c>
      <c r="J119" s="74" cm="1">
        <f t="array" ref="J119">IFERROR(-PPMT(Kredyt1[[#This Row],[Oprocentowanie]]/12,Kredyt1[[#This Row],[Miesiąc kredytu]],IlośćRat,KwotaKredytu),"")</f>
        <v>681.71606479294121</v>
      </c>
      <c r="K119" s="75" cm="1">
        <f t="array" ref="K119">IF(Kredyt1[[#This Row],[Miesiąc kredytu]]="","",-PMT(Kredyt1[[#This Row],[Oprocentowanie]]/12,IlośćRat,KwotaKredytu))</f>
        <v>1556.0489869453118</v>
      </c>
      <c r="L119" s="75">
        <v>0</v>
      </c>
      <c r="M119" s="76">
        <f>IFERROR(M118-J119-Kredyt1[[#This Row],[Nadpłata]],"")</f>
        <v>261618.16058091819</v>
      </c>
    </row>
    <row r="120" spans="4:13">
      <c r="D120" s="70" cm="1">
        <f t="array" ref="D120">IF(ROW(115:115)&lt;=IlośćRat,ROW(115:115),"")</f>
        <v>115</v>
      </c>
      <c r="E120" s="70">
        <f>IFERROR(ROUNDUP(Kredyt1[[#This Row],[Miesiąc kredytu]]/12,0),"")</f>
        <v>10</v>
      </c>
      <c r="F120" s="71">
        <f t="shared" si="1"/>
        <v>47574</v>
      </c>
      <c r="G120" s="72" cm="1">
        <f t="array" ref="G120">IF(Kredyt1[[#This Row],[Data]]="","",WIBOR3M)</f>
        <v>0.02</v>
      </c>
      <c r="H120" s="72" cm="1">
        <f t="array" ref="H120">IF(Kredyt1[[#This Row],[Data]]="","",G120+MarżaBAnku)</f>
        <v>0.04</v>
      </c>
      <c r="I120" s="73">
        <f>IF(Kredyt1[[#This Row],[Data]]="","",Kredyt1[[#This Row],[Cała rata]]-Kredyt1[[#This Row],[Kapitał]])</f>
        <v>872.06053526972732</v>
      </c>
      <c r="J120" s="74" cm="1">
        <f t="array" ref="J120">IFERROR(-PPMT(Kredyt1[[#This Row],[Oprocentowanie]]/12,Kredyt1[[#This Row],[Miesiąc kredytu]],IlośćRat,KwotaKredytu),"")</f>
        <v>683.98845167558443</v>
      </c>
      <c r="K120" s="75" cm="1">
        <f t="array" ref="K120">IF(Kredyt1[[#This Row],[Miesiąc kredytu]]="","",-PMT(Kredyt1[[#This Row],[Oprocentowanie]]/12,IlośćRat,KwotaKredytu))</f>
        <v>1556.0489869453118</v>
      </c>
      <c r="L120" s="75">
        <v>0</v>
      </c>
      <c r="M120" s="76">
        <f>IFERROR(M119-J120-Kredyt1[[#This Row],[Nadpłata]],"")</f>
        <v>260934.17212924262</v>
      </c>
    </row>
    <row r="121" spans="4:13">
      <c r="D121" s="70" cm="1">
        <f t="array" ref="D121">IF(ROW(116:116)&lt;=IlośćRat,ROW(116:116),"")</f>
        <v>116</v>
      </c>
      <c r="E121" s="70">
        <f>IFERROR(ROUNDUP(Kredyt1[[#This Row],[Miesiąc kredytu]]/12,0),"")</f>
        <v>10</v>
      </c>
      <c r="F121" s="71">
        <f t="shared" si="1"/>
        <v>47604</v>
      </c>
      <c r="G121" s="72" cm="1">
        <f t="array" ref="G121">IF(Kredyt1[[#This Row],[Data]]="","",WIBOR3M)</f>
        <v>0.02</v>
      </c>
      <c r="H121" s="72" cm="1">
        <f t="array" ref="H121">IF(Kredyt1[[#This Row],[Data]]="","",G121+MarżaBAnku)</f>
        <v>0.04</v>
      </c>
      <c r="I121" s="73">
        <f>IF(Kredyt1[[#This Row],[Data]]="","",Kredyt1[[#This Row],[Cała rata]]-Kredyt1[[#This Row],[Kapitał]])</f>
        <v>869.78057376414222</v>
      </c>
      <c r="J121" s="74" cm="1">
        <f t="array" ref="J121">IFERROR(-PPMT(Kredyt1[[#This Row],[Oprocentowanie]]/12,Kredyt1[[#This Row],[Miesiąc kredytu]],IlośćRat,KwotaKredytu),"")</f>
        <v>686.26841318116954</v>
      </c>
      <c r="K121" s="75" cm="1">
        <f t="array" ref="K121">IF(Kredyt1[[#This Row],[Miesiąc kredytu]]="","",-PMT(Kredyt1[[#This Row],[Oprocentowanie]]/12,IlośćRat,KwotaKredytu))</f>
        <v>1556.0489869453118</v>
      </c>
      <c r="L121" s="75">
        <v>0</v>
      </c>
      <c r="M121" s="76">
        <f>IFERROR(M120-J121-Kredyt1[[#This Row],[Nadpłata]],"")</f>
        <v>260247.90371606144</v>
      </c>
    </row>
    <row r="122" spans="4:13">
      <c r="D122" s="70" cm="1">
        <f t="array" ref="D122">IF(ROW(117:117)&lt;=IlośćRat,ROW(117:117),"")</f>
        <v>117</v>
      </c>
      <c r="E122" s="70">
        <f>IFERROR(ROUNDUP(Kredyt1[[#This Row],[Miesiąc kredytu]]/12,0),"")</f>
        <v>10</v>
      </c>
      <c r="F122" s="71">
        <f t="shared" si="1"/>
        <v>47635</v>
      </c>
      <c r="G122" s="72" cm="1">
        <f t="array" ref="G122">IF(Kredyt1[[#This Row],[Data]]="","",WIBOR3M)</f>
        <v>0.02</v>
      </c>
      <c r="H122" s="72" cm="1">
        <f t="array" ref="H122">IF(Kredyt1[[#This Row],[Data]]="","",G122+MarżaBAnku)</f>
        <v>0.04</v>
      </c>
      <c r="I122" s="73">
        <f>IF(Kredyt1[[#This Row],[Data]]="","",Kredyt1[[#This Row],[Cała rata]]-Kredyt1[[#This Row],[Kapitał]])</f>
        <v>867.49301238687156</v>
      </c>
      <c r="J122" s="74" cm="1">
        <f t="array" ref="J122">IFERROR(-PPMT(Kredyt1[[#This Row],[Oprocentowanie]]/12,Kredyt1[[#This Row],[Miesiąc kredytu]],IlośćRat,KwotaKredytu),"")</f>
        <v>688.5559745584402</v>
      </c>
      <c r="K122" s="75" cm="1">
        <f t="array" ref="K122">IF(Kredyt1[[#This Row],[Miesiąc kredytu]]="","",-PMT(Kredyt1[[#This Row],[Oprocentowanie]]/12,IlośćRat,KwotaKredytu))</f>
        <v>1556.0489869453118</v>
      </c>
      <c r="L122" s="75">
        <v>0</v>
      </c>
      <c r="M122" s="76">
        <f>IFERROR(M121-J122-Kredyt1[[#This Row],[Nadpłata]],"")</f>
        <v>259559.34774150301</v>
      </c>
    </row>
    <row r="123" spans="4:13">
      <c r="D123" s="70" cm="1">
        <f t="array" ref="D123">IF(ROW(118:118)&lt;=IlośćRat,ROW(118:118),"")</f>
        <v>118</v>
      </c>
      <c r="E123" s="70">
        <f>IFERROR(ROUNDUP(Kredyt1[[#This Row],[Miesiąc kredytu]]/12,0),"")</f>
        <v>10</v>
      </c>
      <c r="F123" s="71">
        <f t="shared" si="1"/>
        <v>47665</v>
      </c>
      <c r="G123" s="72" cm="1">
        <f t="array" ref="G123">IF(Kredyt1[[#This Row],[Data]]="","",WIBOR3M)</f>
        <v>0.02</v>
      </c>
      <c r="H123" s="72" cm="1">
        <f t="array" ref="H123">IF(Kredyt1[[#This Row],[Data]]="","",G123+MarżaBAnku)</f>
        <v>0.04</v>
      </c>
      <c r="I123" s="73">
        <f>IF(Kredyt1[[#This Row],[Data]]="","",Kredyt1[[#This Row],[Cała rata]]-Kredyt1[[#This Row],[Kapitał]])</f>
        <v>865.1978258050101</v>
      </c>
      <c r="J123" s="74" cm="1">
        <f t="array" ref="J123">IFERROR(-PPMT(Kredyt1[[#This Row],[Oprocentowanie]]/12,Kredyt1[[#This Row],[Miesiąc kredytu]],IlośćRat,KwotaKredytu),"")</f>
        <v>690.85116114030166</v>
      </c>
      <c r="K123" s="75" cm="1">
        <f t="array" ref="K123">IF(Kredyt1[[#This Row],[Miesiąc kredytu]]="","",-PMT(Kredyt1[[#This Row],[Oprocentowanie]]/12,IlośćRat,KwotaKredytu))</f>
        <v>1556.0489869453118</v>
      </c>
      <c r="L123" s="75">
        <v>0</v>
      </c>
      <c r="M123" s="76">
        <f>IFERROR(M122-J123-Kredyt1[[#This Row],[Nadpłata]],"")</f>
        <v>258868.4965803627</v>
      </c>
    </row>
    <row r="124" spans="4:13">
      <c r="D124" s="70" cm="1">
        <f t="array" ref="D124">IF(ROW(119:119)&lt;=IlośćRat,ROW(119:119),"")</f>
        <v>119</v>
      </c>
      <c r="E124" s="70">
        <f>IFERROR(ROUNDUP(Kredyt1[[#This Row],[Miesiąc kredytu]]/12,0),"")</f>
        <v>10</v>
      </c>
      <c r="F124" s="71">
        <f t="shared" si="1"/>
        <v>47696</v>
      </c>
      <c r="G124" s="72" cm="1">
        <f t="array" ref="G124">IF(Kredyt1[[#This Row],[Data]]="","",WIBOR3M)</f>
        <v>0.02</v>
      </c>
      <c r="H124" s="72" cm="1">
        <f t="array" ref="H124">IF(Kredyt1[[#This Row],[Data]]="","",G124+MarżaBAnku)</f>
        <v>0.04</v>
      </c>
      <c r="I124" s="73">
        <f>IF(Kredyt1[[#This Row],[Data]]="","",Kredyt1[[#This Row],[Cała rata]]-Kredyt1[[#This Row],[Kapitał]])</f>
        <v>862.89498860120909</v>
      </c>
      <c r="J124" s="74" cm="1">
        <f t="array" ref="J124">IFERROR(-PPMT(Kredyt1[[#This Row],[Oprocentowanie]]/12,Kredyt1[[#This Row],[Miesiąc kredytu]],IlośćRat,KwotaKredytu),"")</f>
        <v>693.15399834410266</v>
      </c>
      <c r="K124" s="75" cm="1">
        <f t="array" ref="K124">IF(Kredyt1[[#This Row],[Miesiąc kredytu]]="","",-PMT(Kredyt1[[#This Row],[Oprocentowanie]]/12,IlośćRat,KwotaKredytu))</f>
        <v>1556.0489869453118</v>
      </c>
      <c r="L124" s="75">
        <v>0</v>
      </c>
      <c r="M124" s="76">
        <f>IFERROR(M123-J124-Kredyt1[[#This Row],[Nadpłata]],"")</f>
        <v>258175.34258201861</v>
      </c>
    </row>
    <row r="125" spans="4:13">
      <c r="D125" s="70" cm="1">
        <f t="array" ref="D125">IF(ROW(120:120)&lt;=IlośćRat,ROW(120:120),"")</f>
        <v>120</v>
      </c>
      <c r="E125" s="70">
        <f>IFERROR(ROUNDUP(Kredyt1[[#This Row],[Miesiąc kredytu]]/12,0),"")</f>
        <v>10</v>
      </c>
      <c r="F125" s="71">
        <f t="shared" si="1"/>
        <v>47727</v>
      </c>
      <c r="G125" s="72" cm="1">
        <f t="array" ref="G125">IF(Kredyt1[[#This Row],[Data]]="","",WIBOR3M)</f>
        <v>0.02</v>
      </c>
      <c r="H125" s="72" cm="1">
        <f t="array" ref="H125">IF(Kredyt1[[#This Row],[Data]]="","",G125+MarżaBAnku)</f>
        <v>0.04</v>
      </c>
      <c r="I125" s="73">
        <f>IF(Kredyt1[[#This Row],[Data]]="","",Kredyt1[[#This Row],[Cała rata]]-Kredyt1[[#This Row],[Kapitał]])</f>
        <v>860.58447527339547</v>
      </c>
      <c r="J125" s="74" cm="1">
        <f t="array" ref="J125">IFERROR(-PPMT(Kredyt1[[#This Row],[Oprocentowanie]]/12,Kredyt1[[#This Row],[Miesiąc kredytu]],IlośćRat,KwotaKredytu),"")</f>
        <v>695.46451167191628</v>
      </c>
      <c r="K125" s="75" cm="1">
        <f t="array" ref="K125">IF(Kredyt1[[#This Row],[Miesiąc kredytu]]="","",-PMT(Kredyt1[[#This Row],[Oprocentowanie]]/12,IlośćRat,KwotaKredytu))</f>
        <v>1556.0489869453118</v>
      </c>
      <c r="L125" s="75">
        <v>0</v>
      </c>
      <c r="M125" s="76">
        <f>IFERROR(M124-J125-Kredyt1[[#This Row],[Nadpłata]],"")</f>
        <v>257479.87807034669</v>
      </c>
    </row>
    <row r="126" spans="4:13">
      <c r="D126" s="70" cm="1">
        <f t="array" ref="D126">IF(ROW(121:121)&lt;=IlośćRat,ROW(121:121),"")</f>
        <v>121</v>
      </c>
      <c r="E126" s="70">
        <f>IFERROR(ROUNDUP(Kredyt1[[#This Row],[Miesiąc kredytu]]/12,0),"")</f>
        <v>11</v>
      </c>
      <c r="F126" s="71">
        <f t="shared" si="1"/>
        <v>47757</v>
      </c>
      <c r="G126" s="72" cm="1">
        <f t="array" ref="G126">IF(Kredyt1[[#This Row],[Data]]="","",WIBOR3M)</f>
        <v>0.02</v>
      </c>
      <c r="H126" s="72" cm="1">
        <f t="array" ref="H126">IF(Kredyt1[[#This Row],[Data]]="","",G126+MarżaBAnku)</f>
        <v>0.04</v>
      </c>
      <c r="I126" s="73">
        <f>IF(Kredyt1[[#This Row],[Data]]="","",Kredyt1[[#This Row],[Cała rata]]-Kredyt1[[#This Row],[Kapitał]])</f>
        <v>858.26626023448898</v>
      </c>
      <c r="J126" s="74" cm="1">
        <f t="array" ref="J126">IFERROR(-PPMT(Kredyt1[[#This Row],[Oprocentowanie]]/12,Kredyt1[[#This Row],[Miesiąc kredytu]],IlośćRat,KwotaKredytu),"")</f>
        <v>697.78272671082277</v>
      </c>
      <c r="K126" s="75" cm="1">
        <f t="array" ref="K126">IF(Kredyt1[[#This Row],[Miesiąc kredytu]]="","",-PMT(Kredyt1[[#This Row],[Oprocentowanie]]/12,IlośćRat,KwotaKredytu))</f>
        <v>1556.0489869453118</v>
      </c>
      <c r="L126" s="75">
        <v>0</v>
      </c>
      <c r="M126" s="76">
        <f>IFERROR(M125-J126-Kredyt1[[#This Row],[Nadpłata]],"")</f>
        <v>256782.09534363585</v>
      </c>
    </row>
    <row r="127" spans="4:13">
      <c r="D127" s="70" cm="1">
        <f t="array" ref="D127">IF(ROW(122:122)&lt;=IlośćRat,ROW(122:122),"")</f>
        <v>122</v>
      </c>
      <c r="E127" s="70">
        <f>IFERROR(ROUNDUP(Kredyt1[[#This Row],[Miesiąc kredytu]]/12,0),"")</f>
        <v>11</v>
      </c>
      <c r="F127" s="71">
        <f t="shared" si="1"/>
        <v>47788</v>
      </c>
      <c r="G127" s="72" cm="1">
        <f t="array" ref="G127">IF(Kredyt1[[#This Row],[Data]]="","",WIBOR3M)</f>
        <v>0.02</v>
      </c>
      <c r="H127" s="72" cm="1">
        <f t="array" ref="H127">IF(Kredyt1[[#This Row],[Data]]="","",G127+MarżaBAnku)</f>
        <v>0.04</v>
      </c>
      <c r="I127" s="73">
        <f>IF(Kredyt1[[#This Row],[Data]]="","",Kredyt1[[#This Row],[Cała rata]]-Kredyt1[[#This Row],[Kapitał]])</f>
        <v>855.94031781211959</v>
      </c>
      <c r="J127" s="74" cm="1">
        <f t="array" ref="J127">IFERROR(-PPMT(Kredyt1[[#This Row],[Oprocentowanie]]/12,Kredyt1[[#This Row],[Miesiąc kredytu]],IlośćRat,KwotaKredytu),"")</f>
        <v>700.10866913319217</v>
      </c>
      <c r="K127" s="75" cm="1">
        <f t="array" ref="K127">IF(Kredyt1[[#This Row],[Miesiąc kredytu]]="","",-PMT(Kredyt1[[#This Row],[Oprocentowanie]]/12,IlośćRat,KwotaKredytu))</f>
        <v>1556.0489869453118</v>
      </c>
      <c r="L127" s="75">
        <v>0</v>
      </c>
      <c r="M127" s="76">
        <f>IFERROR(M126-J127-Kredyt1[[#This Row],[Nadpłata]],"")</f>
        <v>256081.98667450267</v>
      </c>
    </row>
    <row r="128" spans="4:13">
      <c r="D128" s="70" cm="1">
        <f t="array" ref="D128">IF(ROW(123:123)&lt;=IlośćRat,ROW(123:123),"")</f>
        <v>123</v>
      </c>
      <c r="E128" s="70">
        <f>IFERROR(ROUNDUP(Kredyt1[[#This Row],[Miesiąc kredytu]]/12,0),"")</f>
        <v>11</v>
      </c>
      <c r="F128" s="71">
        <f t="shared" si="1"/>
        <v>47818</v>
      </c>
      <c r="G128" s="72" cm="1">
        <f t="array" ref="G128">IF(Kredyt1[[#This Row],[Data]]="","",WIBOR3M)</f>
        <v>0.02</v>
      </c>
      <c r="H128" s="72" cm="1">
        <f t="array" ref="H128">IF(Kredyt1[[#This Row],[Data]]="","",G128+MarżaBAnku)</f>
        <v>0.04</v>
      </c>
      <c r="I128" s="73">
        <f>IF(Kredyt1[[#This Row],[Data]]="","",Kredyt1[[#This Row],[Cała rata]]-Kredyt1[[#This Row],[Kapitał]])</f>
        <v>853.60662224834232</v>
      </c>
      <c r="J128" s="74" cm="1">
        <f t="array" ref="J128">IFERROR(-PPMT(Kredyt1[[#This Row],[Oprocentowanie]]/12,Kredyt1[[#This Row],[Miesiąc kredytu]],IlośćRat,KwotaKredytu),"")</f>
        <v>702.44236469696943</v>
      </c>
      <c r="K128" s="75" cm="1">
        <f t="array" ref="K128">IF(Kredyt1[[#This Row],[Miesiąc kredytu]]="","",-PMT(Kredyt1[[#This Row],[Oprocentowanie]]/12,IlośćRat,KwotaKredytu))</f>
        <v>1556.0489869453118</v>
      </c>
      <c r="L128" s="75">
        <v>0</v>
      </c>
      <c r="M128" s="76">
        <f>IFERROR(M127-J128-Kredyt1[[#This Row],[Nadpłata]],"")</f>
        <v>255379.5443098057</v>
      </c>
    </row>
    <row r="129" spans="4:13">
      <c r="D129" s="70" cm="1">
        <f t="array" ref="D129">IF(ROW(124:124)&lt;=IlośćRat,ROW(124:124),"")</f>
        <v>124</v>
      </c>
      <c r="E129" s="70">
        <f>IFERROR(ROUNDUP(Kredyt1[[#This Row],[Miesiąc kredytu]]/12,0),"")</f>
        <v>11</v>
      </c>
      <c r="F129" s="71">
        <f t="shared" si="1"/>
        <v>47849</v>
      </c>
      <c r="G129" s="72" cm="1">
        <f t="array" ref="G129">IF(Kredyt1[[#This Row],[Data]]="","",WIBOR3M)</f>
        <v>0.02</v>
      </c>
      <c r="H129" s="72" cm="1">
        <f t="array" ref="H129">IF(Kredyt1[[#This Row],[Data]]="","",G129+MarżaBAnku)</f>
        <v>0.04</v>
      </c>
      <c r="I129" s="73">
        <f>IF(Kredyt1[[#This Row],[Data]]="","",Kredyt1[[#This Row],[Cała rata]]-Kredyt1[[#This Row],[Kapitał]])</f>
        <v>851.2651476993525</v>
      </c>
      <c r="J129" s="74" cm="1">
        <f t="array" ref="J129">IFERROR(-PPMT(Kredyt1[[#This Row],[Oprocentowanie]]/12,Kredyt1[[#This Row],[Miesiąc kredytu]],IlośćRat,KwotaKredytu),"")</f>
        <v>704.78383924595926</v>
      </c>
      <c r="K129" s="75" cm="1">
        <f t="array" ref="K129">IF(Kredyt1[[#This Row],[Miesiąc kredytu]]="","",-PMT(Kredyt1[[#This Row],[Oprocentowanie]]/12,IlośćRat,KwotaKredytu))</f>
        <v>1556.0489869453118</v>
      </c>
      <c r="L129" s="75">
        <v>0</v>
      </c>
      <c r="M129" s="76">
        <f>IFERROR(M128-J129-Kredyt1[[#This Row],[Nadpłata]],"")</f>
        <v>254674.76047055973</v>
      </c>
    </row>
    <row r="130" spans="4:13">
      <c r="D130" s="70" cm="1">
        <f t="array" ref="D130">IF(ROW(125:125)&lt;=IlośćRat,ROW(125:125),"")</f>
        <v>125</v>
      </c>
      <c r="E130" s="70">
        <f>IFERROR(ROUNDUP(Kredyt1[[#This Row],[Miesiąc kredytu]]/12,0),"")</f>
        <v>11</v>
      </c>
      <c r="F130" s="71">
        <f t="shared" si="1"/>
        <v>47880</v>
      </c>
      <c r="G130" s="72" cm="1">
        <f t="array" ref="G130">IF(Kredyt1[[#This Row],[Data]]="","",WIBOR3M)</f>
        <v>0.02</v>
      </c>
      <c r="H130" s="72" cm="1">
        <f t="array" ref="H130">IF(Kredyt1[[#This Row],[Data]]="","",G130+MarżaBAnku)</f>
        <v>0.04</v>
      </c>
      <c r="I130" s="73">
        <f>IF(Kredyt1[[#This Row],[Data]]="","",Kredyt1[[#This Row],[Cała rata]]-Kredyt1[[#This Row],[Kapitał]])</f>
        <v>848.91586823519924</v>
      </c>
      <c r="J130" s="74" cm="1">
        <f t="array" ref="J130">IFERROR(-PPMT(Kredyt1[[#This Row],[Oprocentowanie]]/12,Kredyt1[[#This Row],[Miesiąc kredytu]],IlośćRat,KwotaKredytu),"")</f>
        <v>707.13311871011251</v>
      </c>
      <c r="K130" s="75" cm="1">
        <f t="array" ref="K130">IF(Kredyt1[[#This Row],[Miesiąc kredytu]]="","",-PMT(Kredyt1[[#This Row],[Oprocentowanie]]/12,IlośćRat,KwotaKredytu))</f>
        <v>1556.0489869453118</v>
      </c>
      <c r="L130" s="75">
        <v>0</v>
      </c>
      <c r="M130" s="76">
        <f>IFERROR(M129-J130-Kredyt1[[#This Row],[Nadpłata]],"")</f>
        <v>253967.62735184963</v>
      </c>
    </row>
    <row r="131" spans="4:13">
      <c r="D131" s="70" cm="1">
        <f t="array" ref="D131">IF(ROW(126:126)&lt;=IlośćRat,ROW(126:126),"")</f>
        <v>126</v>
      </c>
      <c r="E131" s="70">
        <f>IFERROR(ROUNDUP(Kredyt1[[#This Row],[Miesiąc kredytu]]/12,0),"")</f>
        <v>11</v>
      </c>
      <c r="F131" s="71">
        <f t="shared" si="1"/>
        <v>47908</v>
      </c>
      <c r="G131" s="72" cm="1">
        <f t="array" ref="G131">IF(Kredyt1[[#This Row],[Data]]="","",WIBOR3M)</f>
        <v>0.02</v>
      </c>
      <c r="H131" s="72" cm="1">
        <f t="array" ref="H131">IF(Kredyt1[[#This Row],[Data]]="","",G131+MarżaBAnku)</f>
        <v>0.04</v>
      </c>
      <c r="I131" s="73">
        <f>IF(Kredyt1[[#This Row],[Data]]="","",Kredyt1[[#This Row],[Cała rata]]-Kredyt1[[#This Row],[Kapitał]])</f>
        <v>846.55875783949887</v>
      </c>
      <c r="J131" s="74" cm="1">
        <f t="array" ref="J131">IFERROR(-PPMT(Kredyt1[[#This Row],[Oprocentowanie]]/12,Kredyt1[[#This Row],[Miesiąc kredytu]],IlośćRat,KwotaKredytu),"")</f>
        <v>709.49022910581289</v>
      </c>
      <c r="K131" s="75" cm="1">
        <f t="array" ref="K131">IF(Kredyt1[[#This Row],[Miesiąc kredytu]]="","",-PMT(Kredyt1[[#This Row],[Oprocentowanie]]/12,IlośćRat,KwotaKredytu))</f>
        <v>1556.0489869453118</v>
      </c>
      <c r="L131" s="75">
        <v>0</v>
      </c>
      <c r="M131" s="76">
        <f>IFERROR(M130-J131-Kredyt1[[#This Row],[Nadpłata]],"")</f>
        <v>253258.13712274382</v>
      </c>
    </row>
    <row r="132" spans="4:13">
      <c r="D132" s="70" cm="1">
        <f t="array" ref="D132">IF(ROW(127:127)&lt;=IlośćRat,ROW(127:127),"")</f>
        <v>127</v>
      </c>
      <c r="E132" s="70">
        <f>IFERROR(ROUNDUP(Kredyt1[[#This Row],[Miesiąc kredytu]]/12,0),"")</f>
        <v>11</v>
      </c>
      <c r="F132" s="71">
        <f t="shared" si="1"/>
        <v>47939</v>
      </c>
      <c r="G132" s="72" cm="1">
        <f t="array" ref="G132">IF(Kredyt1[[#This Row],[Data]]="","",WIBOR3M)</f>
        <v>0.02</v>
      </c>
      <c r="H132" s="72" cm="1">
        <f t="array" ref="H132">IF(Kredyt1[[#This Row],[Data]]="","",G132+MarżaBAnku)</f>
        <v>0.04</v>
      </c>
      <c r="I132" s="73">
        <f>IF(Kredyt1[[#This Row],[Data]]="","",Kredyt1[[#This Row],[Cała rata]]-Kredyt1[[#This Row],[Kapitał]])</f>
        <v>844.19379040914612</v>
      </c>
      <c r="J132" s="74" cm="1">
        <f t="array" ref="J132">IFERROR(-PPMT(Kredyt1[[#This Row],[Oprocentowanie]]/12,Kredyt1[[#This Row],[Miesiąc kredytu]],IlośćRat,KwotaKredytu),"")</f>
        <v>711.85519653616564</v>
      </c>
      <c r="K132" s="75" cm="1">
        <f t="array" ref="K132">IF(Kredyt1[[#This Row],[Miesiąc kredytu]]="","",-PMT(Kredyt1[[#This Row],[Oprocentowanie]]/12,IlośćRat,KwotaKredytu))</f>
        <v>1556.0489869453118</v>
      </c>
      <c r="L132" s="75">
        <v>0</v>
      </c>
      <c r="M132" s="76">
        <f>IFERROR(M131-J132-Kredyt1[[#This Row],[Nadpłata]],"")</f>
        <v>252546.28192620765</v>
      </c>
    </row>
    <row r="133" spans="4:13">
      <c r="D133" s="70" cm="1">
        <f t="array" ref="D133">IF(ROW(128:128)&lt;=IlośćRat,ROW(128:128),"")</f>
        <v>128</v>
      </c>
      <c r="E133" s="70">
        <f>IFERROR(ROUNDUP(Kredyt1[[#This Row],[Miesiąc kredytu]]/12,0),"")</f>
        <v>11</v>
      </c>
      <c r="F133" s="71">
        <f t="shared" si="1"/>
        <v>47969</v>
      </c>
      <c r="G133" s="72" cm="1">
        <f t="array" ref="G133">IF(Kredyt1[[#This Row],[Data]]="","",WIBOR3M)</f>
        <v>0.02</v>
      </c>
      <c r="H133" s="72" cm="1">
        <f t="array" ref="H133">IF(Kredyt1[[#This Row],[Data]]="","",G133+MarżaBAnku)</f>
        <v>0.04</v>
      </c>
      <c r="I133" s="73">
        <f>IF(Kredyt1[[#This Row],[Data]]="","",Kredyt1[[#This Row],[Cała rata]]-Kredyt1[[#This Row],[Kapitał]])</f>
        <v>841.82093975402563</v>
      </c>
      <c r="J133" s="74" cm="1">
        <f t="array" ref="J133">IFERROR(-PPMT(Kredyt1[[#This Row],[Oprocentowanie]]/12,Kredyt1[[#This Row],[Miesiąc kredytu]],IlośćRat,KwotaKredytu),"")</f>
        <v>714.22804719128612</v>
      </c>
      <c r="K133" s="75" cm="1">
        <f t="array" ref="K133">IF(Kredyt1[[#This Row],[Miesiąc kredytu]]="","",-PMT(Kredyt1[[#This Row],[Oprocentowanie]]/12,IlośćRat,KwotaKredytu))</f>
        <v>1556.0489869453118</v>
      </c>
      <c r="L133" s="75">
        <v>0</v>
      </c>
      <c r="M133" s="76">
        <f>IFERROR(M132-J133-Kredyt1[[#This Row],[Nadpłata]],"")</f>
        <v>251832.05387901637</v>
      </c>
    </row>
    <row r="134" spans="4:13">
      <c r="D134" s="70" cm="1">
        <f t="array" ref="D134">IF(ROW(129:129)&lt;=IlośćRat,ROW(129:129),"")</f>
        <v>129</v>
      </c>
      <c r="E134" s="70">
        <f>IFERROR(ROUNDUP(Kredyt1[[#This Row],[Miesiąc kredytu]]/12,0),"")</f>
        <v>11</v>
      </c>
      <c r="F134" s="71">
        <f t="shared" ref="F134:F197" si="2">IFERROR(EDATE($B$6,D134-1),"")</f>
        <v>48000</v>
      </c>
      <c r="G134" s="72" cm="1">
        <f t="array" ref="G134">IF(Kredyt1[[#This Row],[Data]]="","",WIBOR3M)</f>
        <v>0.02</v>
      </c>
      <c r="H134" s="72" cm="1">
        <f t="array" ref="H134">IF(Kredyt1[[#This Row],[Data]]="","",G134+MarżaBAnku)</f>
        <v>0.04</v>
      </c>
      <c r="I134" s="73">
        <f>IF(Kredyt1[[#This Row],[Data]]="","",Kredyt1[[#This Row],[Cała rata]]-Kredyt1[[#This Row],[Kapitał]])</f>
        <v>839.44017959672124</v>
      </c>
      <c r="J134" s="74" cm="1">
        <f t="array" ref="J134">IFERROR(-PPMT(Kredyt1[[#This Row],[Oprocentowanie]]/12,Kredyt1[[#This Row],[Miesiąc kredytu]],IlośćRat,KwotaKredytu),"")</f>
        <v>716.60880734859052</v>
      </c>
      <c r="K134" s="75" cm="1">
        <f t="array" ref="K134">IF(Kredyt1[[#This Row],[Miesiąc kredytu]]="","",-PMT(Kredyt1[[#This Row],[Oprocentowanie]]/12,IlośćRat,KwotaKredytu))</f>
        <v>1556.0489869453118</v>
      </c>
      <c r="L134" s="75">
        <v>0</v>
      </c>
      <c r="M134" s="76">
        <f>IFERROR(M133-J134-Kredyt1[[#This Row],[Nadpłata]],"")</f>
        <v>251115.44507166778</v>
      </c>
    </row>
    <row r="135" spans="4:13">
      <c r="D135" s="70" cm="1">
        <f t="array" ref="D135">IF(ROW(130:130)&lt;=IlośćRat,ROW(130:130),"")</f>
        <v>130</v>
      </c>
      <c r="E135" s="70">
        <f>IFERROR(ROUNDUP(Kredyt1[[#This Row],[Miesiąc kredytu]]/12,0),"")</f>
        <v>11</v>
      </c>
      <c r="F135" s="71">
        <f t="shared" si="2"/>
        <v>48030</v>
      </c>
      <c r="G135" s="72" cm="1">
        <f t="array" ref="G135">IF(Kredyt1[[#This Row],[Data]]="","",WIBOR3M)</f>
        <v>0.02</v>
      </c>
      <c r="H135" s="72" cm="1">
        <f t="array" ref="H135">IF(Kredyt1[[#This Row],[Data]]="","",G135+MarżaBAnku)</f>
        <v>0.04</v>
      </c>
      <c r="I135" s="73">
        <f>IF(Kredyt1[[#This Row],[Data]]="","",Kredyt1[[#This Row],[Cała rata]]-Kredyt1[[#This Row],[Kapitał]])</f>
        <v>837.05148357222595</v>
      </c>
      <c r="J135" s="74" cm="1">
        <f t="array" ref="J135">IFERROR(-PPMT(Kredyt1[[#This Row],[Oprocentowanie]]/12,Kredyt1[[#This Row],[Miesiąc kredytu]],IlośćRat,KwotaKredytu),"")</f>
        <v>718.99750337308581</v>
      </c>
      <c r="K135" s="75" cm="1">
        <f t="array" ref="K135">IF(Kredyt1[[#This Row],[Miesiąc kredytu]]="","",-PMT(Kredyt1[[#This Row],[Oprocentowanie]]/12,IlośćRat,KwotaKredytu))</f>
        <v>1556.0489869453118</v>
      </c>
      <c r="L135" s="75">
        <v>0</v>
      </c>
      <c r="M135" s="76">
        <f>IFERROR(M134-J135-Kredyt1[[#This Row],[Nadpłata]],"")</f>
        <v>250396.44756829471</v>
      </c>
    </row>
    <row r="136" spans="4:13">
      <c r="D136" s="70" cm="1">
        <f t="array" ref="D136">IF(ROW(131:131)&lt;=IlośćRat,ROW(131:131),"")</f>
        <v>131</v>
      </c>
      <c r="E136" s="70">
        <f>IFERROR(ROUNDUP(Kredyt1[[#This Row],[Miesiąc kredytu]]/12,0),"")</f>
        <v>11</v>
      </c>
      <c r="F136" s="71">
        <f t="shared" si="2"/>
        <v>48061</v>
      </c>
      <c r="G136" s="72" cm="1">
        <f t="array" ref="G136">IF(Kredyt1[[#This Row],[Data]]="","",WIBOR3M)</f>
        <v>0.02</v>
      </c>
      <c r="H136" s="72" cm="1">
        <f t="array" ref="H136">IF(Kredyt1[[#This Row],[Data]]="","",G136+MarżaBAnku)</f>
        <v>0.04</v>
      </c>
      <c r="I136" s="73">
        <f>IF(Kredyt1[[#This Row],[Data]]="","",Kredyt1[[#This Row],[Cała rata]]-Kredyt1[[#This Row],[Kapitał]])</f>
        <v>834.6548252276491</v>
      </c>
      <c r="J136" s="74" cm="1">
        <f t="array" ref="J136">IFERROR(-PPMT(Kredyt1[[#This Row],[Oprocentowanie]]/12,Kredyt1[[#This Row],[Miesiąc kredytu]],IlośćRat,KwotaKredytu),"")</f>
        <v>721.39416171766266</v>
      </c>
      <c r="K136" s="75" cm="1">
        <f t="array" ref="K136">IF(Kredyt1[[#This Row],[Miesiąc kredytu]]="","",-PMT(Kredyt1[[#This Row],[Oprocentowanie]]/12,IlośćRat,KwotaKredytu))</f>
        <v>1556.0489869453118</v>
      </c>
      <c r="L136" s="75">
        <v>0</v>
      </c>
      <c r="M136" s="76">
        <f>IFERROR(M135-J136-Kredyt1[[#This Row],[Nadpłata]],"")</f>
        <v>249675.05340657703</v>
      </c>
    </row>
    <row r="137" spans="4:13">
      <c r="D137" s="70" cm="1">
        <f t="array" ref="D137">IF(ROW(132:132)&lt;=IlośćRat,ROW(132:132),"")</f>
        <v>132</v>
      </c>
      <c r="E137" s="70">
        <f>IFERROR(ROUNDUP(Kredyt1[[#This Row],[Miesiąc kredytu]]/12,0),"")</f>
        <v>11</v>
      </c>
      <c r="F137" s="71">
        <f t="shared" si="2"/>
        <v>48092</v>
      </c>
      <c r="G137" s="72" cm="1">
        <f t="array" ref="G137">IF(Kredyt1[[#This Row],[Data]]="","",WIBOR3M)</f>
        <v>0.02</v>
      </c>
      <c r="H137" s="72" cm="1">
        <f t="array" ref="H137">IF(Kredyt1[[#This Row],[Data]]="","",G137+MarżaBAnku)</f>
        <v>0.04</v>
      </c>
      <c r="I137" s="73">
        <f>IF(Kredyt1[[#This Row],[Data]]="","",Kredyt1[[#This Row],[Cała rata]]-Kredyt1[[#This Row],[Kapitał]])</f>
        <v>832.2501780219236</v>
      </c>
      <c r="J137" s="74" cm="1">
        <f t="array" ref="J137">IFERROR(-PPMT(Kredyt1[[#This Row],[Oprocentowanie]]/12,Kredyt1[[#This Row],[Miesiąc kredytu]],IlośćRat,KwotaKredytu),"")</f>
        <v>723.79880892338815</v>
      </c>
      <c r="K137" s="75" cm="1">
        <f t="array" ref="K137">IF(Kredyt1[[#This Row],[Miesiąc kredytu]]="","",-PMT(Kredyt1[[#This Row],[Oprocentowanie]]/12,IlośćRat,KwotaKredytu))</f>
        <v>1556.0489869453118</v>
      </c>
      <c r="L137" s="75">
        <v>0</v>
      </c>
      <c r="M137" s="76">
        <f>IFERROR(M136-J137-Kredyt1[[#This Row],[Nadpłata]],"")</f>
        <v>248951.25459765363</v>
      </c>
    </row>
    <row r="138" spans="4:13">
      <c r="D138" s="70" cm="1">
        <f t="array" ref="D138">IF(ROW(133:133)&lt;=IlośćRat,ROW(133:133),"")</f>
        <v>133</v>
      </c>
      <c r="E138" s="70">
        <f>IFERROR(ROUNDUP(Kredyt1[[#This Row],[Miesiąc kredytu]]/12,0),"")</f>
        <v>12</v>
      </c>
      <c r="F138" s="71">
        <f t="shared" si="2"/>
        <v>48122</v>
      </c>
      <c r="G138" s="72" cm="1">
        <f t="array" ref="G138">IF(Kredyt1[[#This Row],[Data]]="","",WIBOR3M)</f>
        <v>0.02</v>
      </c>
      <c r="H138" s="72" cm="1">
        <f t="array" ref="H138">IF(Kredyt1[[#This Row],[Data]]="","",G138+MarżaBAnku)</f>
        <v>0.04</v>
      </c>
      <c r="I138" s="73">
        <f>IF(Kredyt1[[#This Row],[Data]]="","",Kredyt1[[#This Row],[Cała rata]]-Kredyt1[[#This Row],[Kapitał]])</f>
        <v>829.83751532551219</v>
      </c>
      <c r="J138" s="74" cm="1">
        <f t="array" ref="J138">IFERROR(-PPMT(Kredyt1[[#This Row],[Oprocentowanie]]/12,Kredyt1[[#This Row],[Miesiąc kredytu]],IlośćRat,KwotaKredytu),"")</f>
        <v>726.21147161979957</v>
      </c>
      <c r="K138" s="75" cm="1">
        <f t="array" ref="K138">IF(Kredyt1[[#This Row],[Miesiąc kredytu]]="","",-PMT(Kredyt1[[#This Row],[Oprocentowanie]]/12,IlośćRat,KwotaKredytu))</f>
        <v>1556.0489869453118</v>
      </c>
      <c r="L138" s="75">
        <v>0</v>
      </c>
      <c r="M138" s="76">
        <f>IFERROR(M137-J138-Kredyt1[[#This Row],[Nadpłata]],"")</f>
        <v>248225.04312603382</v>
      </c>
    </row>
    <row r="139" spans="4:13">
      <c r="D139" s="70" cm="1">
        <f t="array" ref="D139">IF(ROW(134:134)&lt;=IlośćRat,ROW(134:134),"")</f>
        <v>134</v>
      </c>
      <c r="E139" s="70">
        <f>IFERROR(ROUNDUP(Kredyt1[[#This Row],[Miesiąc kredytu]]/12,0),"")</f>
        <v>12</v>
      </c>
      <c r="F139" s="71">
        <f t="shared" si="2"/>
        <v>48153</v>
      </c>
      <c r="G139" s="72" cm="1">
        <f t="array" ref="G139">IF(Kredyt1[[#This Row],[Data]]="","",WIBOR3M)</f>
        <v>0.02</v>
      </c>
      <c r="H139" s="72" cm="1">
        <f t="array" ref="H139">IF(Kredyt1[[#This Row],[Data]]="","",G139+MarżaBAnku)</f>
        <v>0.04</v>
      </c>
      <c r="I139" s="73">
        <f>IF(Kredyt1[[#This Row],[Data]]="","",Kredyt1[[#This Row],[Cała rata]]-Kredyt1[[#This Row],[Kapitał]])</f>
        <v>827.41681042011282</v>
      </c>
      <c r="J139" s="74" cm="1">
        <f t="array" ref="J139">IFERROR(-PPMT(Kredyt1[[#This Row],[Oprocentowanie]]/12,Kredyt1[[#This Row],[Miesiąc kredytu]],IlośćRat,KwotaKredytu),"")</f>
        <v>728.63217652519893</v>
      </c>
      <c r="K139" s="75" cm="1">
        <f t="array" ref="K139">IF(Kredyt1[[#This Row],[Miesiąc kredytu]]="","",-PMT(Kredyt1[[#This Row],[Oprocentowanie]]/12,IlośćRat,KwotaKredytu))</f>
        <v>1556.0489869453118</v>
      </c>
      <c r="L139" s="75">
        <v>0</v>
      </c>
      <c r="M139" s="76">
        <f>IFERROR(M138-J139-Kredyt1[[#This Row],[Nadpłata]],"")</f>
        <v>247496.41094950863</v>
      </c>
    </row>
    <row r="140" spans="4:13">
      <c r="D140" s="70" cm="1">
        <f t="array" ref="D140">IF(ROW(135:135)&lt;=IlośćRat,ROW(135:135),"")</f>
        <v>135</v>
      </c>
      <c r="E140" s="70">
        <f>IFERROR(ROUNDUP(Kredyt1[[#This Row],[Miesiąc kredytu]]/12,0),"")</f>
        <v>12</v>
      </c>
      <c r="F140" s="71">
        <f t="shared" si="2"/>
        <v>48183</v>
      </c>
      <c r="G140" s="72" cm="1">
        <f t="array" ref="G140">IF(Kredyt1[[#This Row],[Data]]="","",WIBOR3M)</f>
        <v>0.02</v>
      </c>
      <c r="H140" s="72" cm="1">
        <f t="array" ref="H140">IF(Kredyt1[[#This Row],[Data]]="","",G140+MarżaBAnku)</f>
        <v>0.04</v>
      </c>
      <c r="I140" s="73">
        <f>IF(Kredyt1[[#This Row],[Data]]="","",Kredyt1[[#This Row],[Cała rata]]-Kredyt1[[#This Row],[Kapitał]])</f>
        <v>824.98803649836236</v>
      </c>
      <c r="J140" s="74" cm="1">
        <f t="array" ref="J140">IFERROR(-PPMT(Kredyt1[[#This Row],[Oprocentowanie]]/12,Kredyt1[[#This Row],[Miesiąc kredytu]],IlośćRat,KwotaKredytu),"")</f>
        <v>731.06095044694939</v>
      </c>
      <c r="K140" s="75" cm="1">
        <f t="array" ref="K140">IF(Kredyt1[[#This Row],[Miesiąc kredytu]]="","",-PMT(Kredyt1[[#This Row],[Oprocentowanie]]/12,IlośćRat,KwotaKredytu))</f>
        <v>1556.0489869453118</v>
      </c>
      <c r="L140" s="75">
        <v>0</v>
      </c>
      <c r="M140" s="76">
        <f>IFERROR(M139-J140-Kredyt1[[#This Row],[Nadpłata]],"")</f>
        <v>246765.34999906167</v>
      </c>
    </row>
    <row r="141" spans="4:13">
      <c r="D141" s="70" cm="1">
        <f t="array" ref="D141">IF(ROW(136:136)&lt;=IlośćRat,ROW(136:136),"")</f>
        <v>136</v>
      </c>
      <c r="E141" s="70">
        <f>IFERROR(ROUNDUP(Kredyt1[[#This Row],[Miesiąc kredytu]]/12,0),"")</f>
        <v>12</v>
      </c>
      <c r="F141" s="71">
        <f t="shared" si="2"/>
        <v>48214</v>
      </c>
      <c r="G141" s="72" cm="1">
        <f t="array" ref="G141">IF(Kredyt1[[#This Row],[Data]]="","",WIBOR3M)</f>
        <v>0.02</v>
      </c>
      <c r="H141" s="72" cm="1">
        <f t="array" ref="H141">IF(Kredyt1[[#This Row],[Data]]="","",G141+MarżaBAnku)</f>
        <v>0.04</v>
      </c>
      <c r="I141" s="73">
        <f>IF(Kredyt1[[#This Row],[Data]]="","",Kredyt1[[#This Row],[Cała rata]]-Kredyt1[[#This Row],[Kapitał]])</f>
        <v>822.55116666353911</v>
      </c>
      <c r="J141" s="74" cm="1">
        <f t="array" ref="J141">IFERROR(-PPMT(Kredyt1[[#This Row],[Oprocentowanie]]/12,Kredyt1[[#This Row],[Miesiąc kredytu]],IlośćRat,KwotaKredytu),"")</f>
        <v>733.49782028177265</v>
      </c>
      <c r="K141" s="75" cm="1">
        <f t="array" ref="K141">IF(Kredyt1[[#This Row],[Miesiąc kredytu]]="","",-PMT(Kredyt1[[#This Row],[Oprocentowanie]]/12,IlośćRat,KwotaKredytu))</f>
        <v>1556.0489869453118</v>
      </c>
      <c r="L141" s="75">
        <v>0</v>
      </c>
      <c r="M141" s="76">
        <f>IFERROR(M140-J141-Kredyt1[[#This Row],[Nadpłata]],"")</f>
        <v>246031.8521787799</v>
      </c>
    </row>
    <row r="142" spans="4:13">
      <c r="D142" s="70" cm="1">
        <f t="array" ref="D142">IF(ROW(137:137)&lt;=IlośćRat,ROW(137:137),"")</f>
        <v>137</v>
      </c>
      <c r="E142" s="70">
        <f>IFERROR(ROUNDUP(Kredyt1[[#This Row],[Miesiąc kredytu]]/12,0),"")</f>
        <v>12</v>
      </c>
      <c r="F142" s="71">
        <f t="shared" si="2"/>
        <v>48245</v>
      </c>
      <c r="G142" s="72" cm="1">
        <f t="array" ref="G142">IF(Kredyt1[[#This Row],[Data]]="","",WIBOR3M)</f>
        <v>0.02</v>
      </c>
      <c r="H142" s="72" cm="1">
        <f t="array" ref="H142">IF(Kredyt1[[#This Row],[Data]]="","",G142+MarżaBAnku)</f>
        <v>0.04</v>
      </c>
      <c r="I142" s="73">
        <f>IF(Kredyt1[[#This Row],[Data]]="","",Kredyt1[[#This Row],[Cała rata]]-Kredyt1[[#This Row],[Kapitał]])</f>
        <v>820.10617392926656</v>
      </c>
      <c r="J142" s="74" cm="1">
        <f t="array" ref="J142">IFERROR(-PPMT(Kredyt1[[#This Row],[Oprocentowanie]]/12,Kredyt1[[#This Row],[Miesiąc kredytu]],IlośćRat,KwotaKredytu),"")</f>
        <v>735.94281301604519</v>
      </c>
      <c r="K142" s="75" cm="1">
        <f t="array" ref="K142">IF(Kredyt1[[#This Row],[Miesiąc kredytu]]="","",-PMT(Kredyt1[[#This Row],[Oprocentowanie]]/12,IlośćRat,KwotaKredytu))</f>
        <v>1556.0489869453118</v>
      </c>
      <c r="L142" s="75">
        <v>0</v>
      </c>
      <c r="M142" s="76">
        <f>IFERROR(M141-J142-Kredyt1[[#This Row],[Nadpłata]],"")</f>
        <v>245295.90936576386</v>
      </c>
    </row>
    <row r="143" spans="4:13">
      <c r="D143" s="70" cm="1">
        <f t="array" ref="D143">IF(ROW(138:138)&lt;=IlośćRat,ROW(138:138),"")</f>
        <v>138</v>
      </c>
      <c r="E143" s="70">
        <f>IFERROR(ROUNDUP(Kredyt1[[#This Row],[Miesiąc kredytu]]/12,0),"")</f>
        <v>12</v>
      </c>
      <c r="F143" s="71">
        <f t="shared" si="2"/>
        <v>48274</v>
      </c>
      <c r="G143" s="72" cm="1">
        <f t="array" ref="G143">IF(Kredyt1[[#This Row],[Data]]="","",WIBOR3M)</f>
        <v>0.02</v>
      </c>
      <c r="H143" s="72" cm="1">
        <f t="array" ref="H143">IF(Kredyt1[[#This Row],[Data]]="","",G143+MarżaBAnku)</f>
        <v>0.04</v>
      </c>
      <c r="I143" s="73">
        <f>IF(Kredyt1[[#This Row],[Data]]="","",Kredyt1[[#This Row],[Cała rata]]-Kredyt1[[#This Row],[Kapitał]])</f>
        <v>817.65303121921295</v>
      </c>
      <c r="J143" s="74" cm="1">
        <f t="array" ref="J143">IFERROR(-PPMT(Kredyt1[[#This Row],[Oprocentowanie]]/12,Kredyt1[[#This Row],[Miesiąc kredytu]],IlośćRat,KwotaKredytu),"")</f>
        <v>738.3959557260988</v>
      </c>
      <c r="K143" s="75" cm="1">
        <f t="array" ref="K143">IF(Kredyt1[[#This Row],[Miesiąc kredytu]]="","",-PMT(Kredyt1[[#This Row],[Oprocentowanie]]/12,IlośćRat,KwotaKredytu))</f>
        <v>1556.0489869453118</v>
      </c>
      <c r="L143" s="75">
        <v>0</v>
      </c>
      <c r="M143" s="76">
        <f>IFERROR(M142-J143-Kredyt1[[#This Row],[Nadpłata]],"")</f>
        <v>244557.51341003776</v>
      </c>
    </row>
    <row r="144" spans="4:13">
      <c r="D144" s="70" cm="1">
        <f t="array" ref="D144">IF(ROW(139:139)&lt;=IlośćRat,ROW(139:139),"")</f>
        <v>139</v>
      </c>
      <c r="E144" s="70">
        <f>IFERROR(ROUNDUP(Kredyt1[[#This Row],[Miesiąc kredytu]]/12,0),"")</f>
        <v>12</v>
      </c>
      <c r="F144" s="71">
        <f t="shared" si="2"/>
        <v>48305</v>
      </c>
      <c r="G144" s="72" cm="1">
        <f t="array" ref="G144">IF(Kredyt1[[#This Row],[Data]]="","",WIBOR3M)</f>
        <v>0.02</v>
      </c>
      <c r="H144" s="72" cm="1">
        <f t="array" ref="H144">IF(Kredyt1[[#This Row],[Data]]="","",G144+MarżaBAnku)</f>
        <v>0.04</v>
      </c>
      <c r="I144" s="73">
        <f>IF(Kredyt1[[#This Row],[Data]]="","",Kredyt1[[#This Row],[Cała rata]]-Kredyt1[[#This Row],[Kapitał]])</f>
        <v>815.19171136679267</v>
      </c>
      <c r="J144" s="74" cm="1">
        <f t="array" ref="J144">IFERROR(-PPMT(Kredyt1[[#This Row],[Oprocentowanie]]/12,Kredyt1[[#This Row],[Miesiąc kredytu]],IlośćRat,KwotaKredytu),"")</f>
        <v>740.85727557851908</v>
      </c>
      <c r="K144" s="75" cm="1">
        <f t="array" ref="K144">IF(Kredyt1[[#This Row],[Miesiąc kredytu]]="","",-PMT(Kredyt1[[#This Row],[Oprocentowanie]]/12,IlośćRat,KwotaKredytu))</f>
        <v>1556.0489869453118</v>
      </c>
      <c r="L144" s="75">
        <v>0</v>
      </c>
      <c r="M144" s="76">
        <f>IFERROR(M143-J144-Kredyt1[[#This Row],[Nadpłata]],"")</f>
        <v>243816.65613445925</v>
      </c>
    </row>
    <row r="145" spans="4:13">
      <c r="D145" s="70" cm="1">
        <f t="array" ref="D145">IF(ROW(140:140)&lt;=IlośćRat,ROW(140:140),"")</f>
        <v>140</v>
      </c>
      <c r="E145" s="70">
        <f>IFERROR(ROUNDUP(Kredyt1[[#This Row],[Miesiąc kredytu]]/12,0),"")</f>
        <v>12</v>
      </c>
      <c r="F145" s="71">
        <f t="shared" si="2"/>
        <v>48335</v>
      </c>
      <c r="G145" s="72" cm="1">
        <f t="array" ref="G145">IF(Kredyt1[[#This Row],[Data]]="","",WIBOR3M)</f>
        <v>0.02</v>
      </c>
      <c r="H145" s="72" cm="1">
        <f t="array" ref="H145">IF(Kredyt1[[#This Row],[Data]]="","",G145+MarżaBAnku)</f>
        <v>0.04</v>
      </c>
      <c r="I145" s="73">
        <f>IF(Kredyt1[[#This Row],[Data]]="","",Kredyt1[[#This Row],[Cała rata]]-Kredyt1[[#This Row],[Kapitał]])</f>
        <v>812.72218711486425</v>
      </c>
      <c r="J145" s="74" cm="1">
        <f t="array" ref="J145">IFERROR(-PPMT(Kredyt1[[#This Row],[Oprocentowanie]]/12,Kredyt1[[#This Row],[Miesiąc kredytu]],IlośćRat,KwotaKredytu),"")</f>
        <v>743.3267998304475</v>
      </c>
      <c r="K145" s="75" cm="1">
        <f t="array" ref="K145">IF(Kredyt1[[#This Row],[Miesiąc kredytu]]="","",-PMT(Kredyt1[[#This Row],[Oprocentowanie]]/12,IlośćRat,KwotaKredytu))</f>
        <v>1556.0489869453118</v>
      </c>
      <c r="L145" s="75">
        <v>0</v>
      </c>
      <c r="M145" s="76">
        <f>IFERROR(M144-J145-Kredyt1[[#This Row],[Nadpłata]],"")</f>
        <v>243073.3293346288</v>
      </c>
    </row>
    <row r="146" spans="4:13">
      <c r="D146" s="70" cm="1">
        <f t="array" ref="D146">IF(ROW(141:141)&lt;=IlośćRat,ROW(141:141),"")</f>
        <v>141</v>
      </c>
      <c r="E146" s="70">
        <f>IFERROR(ROUNDUP(Kredyt1[[#This Row],[Miesiąc kredytu]]/12,0),"")</f>
        <v>12</v>
      </c>
      <c r="F146" s="71">
        <f t="shared" si="2"/>
        <v>48366</v>
      </c>
      <c r="G146" s="72" cm="1">
        <f t="array" ref="G146">IF(Kredyt1[[#This Row],[Data]]="","",WIBOR3M)</f>
        <v>0.02</v>
      </c>
      <c r="H146" s="72" cm="1">
        <f t="array" ref="H146">IF(Kredyt1[[#This Row],[Data]]="","",G146+MarżaBAnku)</f>
        <v>0.04</v>
      </c>
      <c r="I146" s="73">
        <f>IF(Kredyt1[[#This Row],[Data]]="","",Kredyt1[[#This Row],[Cała rata]]-Kredyt1[[#This Row],[Kapitał]])</f>
        <v>810.24443111542951</v>
      </c>
      <c r="J146" s="74" cm="1">
        <f t="array" ref="J146">IFERROR(-PPMT(Kredyt1[[#This Row],[Oprocentowanie]]/12,Kredyt1[[#This Row],[Miesiąc kredytu]],IlośćRat,KwotaKredytu),"")</f>
        <v>745.80455582988225</v>
      </c>
      <c r="K146" s="75" cm="1">
        <f t="array" ref="K146">IF(Kredyt1[[#This Row],[Miesiąc kredytu]]="","",-PMT(Kredyt1[[#This Row],[Oprocentowanie]]/12,IlośćRat,KwotaKredytu))</f>
        <v>1556.0489869453118</v>
      </c>
      <c r="L146" s="75">
        <v>0</v>
      </c>
      <c r="M146" s="76">
        <f>IFERROR(M145-J146-Kredyt1[[#This Row],[Nadpłata]],"")</f>
        <v>242327.52477879892</v>
      </c>
    </row>
    <row r="147" spans="4:13">
      <c r="D147" s="70" cm="1">
        <f t="array" ref="D147">IF(ROW(142:142)&lt;=IlośćRat,ROW(142:142),"")</f>
        <v>142</v>
      </c>
      <c r="E147" s="70">
        <f>IFERROR(ROUNDUP(Kredyt1[[#This Row],[Miesiąc kredytu]]/12,0),"")</f>
        <v>12</v>
      </c>
      <c r="F147" s="71">
        <f t="shared" si="2"/>
        <v>48396</v>
      </c>
      <c r="G147" s="72" cm="1">
        <f t="array" ref="G147">IF(Kredyt1[[#This Row],[Data]]="","",WIBOR3M)</f>
        <v>0.02</v>
      </c>
      <c r="H147" s="72" cm="1">
        <f t="array" ref="H147">IF(Kredyt1[[#This Row],[Data]]="","",G147+MarżaBAnku)</f>
        <v>0.04</v>
      </c>
      <c r="I147" s="73">
        <f>IF(Kredyt1[[#This Row],[Data]]="","",Kredyt1[[#This Row],[Cała rata]]-Kredyt1[[#This Row],[Kapitał]])</f>
        <v>807.75841592932977</v>
      </c>
      <c r="J147" s="74" cm="1">
        <f t="array" ref="J147">IFERROR(-PPMT(Kredyt1[[#This Row],[Oprocentowanie]]/12,Kredyt1[[#This Row],[Miesiąc kredytu]],IlośćRat,KwotaKredytu),"")</f>
        <v>748.29057101598198</v>
      </c>
      <c r="K147" s="75" cm="1">
        <f t="array" ref="K147">IF(Kredyt1[[#This Row],[Miesiąc kredytu]]="","",-PMT(Kredyt1[[#This Row],[Oprocentowanie]]/12,IlośćRat,KwotaKredytu))</f>
        <v>1556.0489869453118</v>
      </c>
      <c r="L147" s="75">
        <v>0</v>
      </c>
      <c r="M147" s="76">
        <f>IFERROR(M146-J147-Kredyt1[[#This Row],[Nadpłata]],"")</f>
        <v>241579.23420778295</v>
      </c>
    </row>
    <row r="148" spans="4:13">
      <c r="D148" s="70" cm="1">
        <f t="array" ref="D148">IF(ROW(143:143)&lt;=IlośćRat,ROW(143:143),"")</f>
        <v>143</v>
      </c>
      <c r="E148" s="70">
        <f>IFERROR(ROUNDUP(Kredyt1[[#This Row],[Miesiąc kredytu]]/12,0),"")</f>
        <v>12</v>
      </c>
      <c r="F148" s="71">
        <f t="shared" si="2"/>
        <v>48427</v>
      </c>
      <c r="G148" s="72" cm="1">
        <f t="array" ref="G148">IF(Kredyt1[[#This Row],[Data]]="","",WIBOR3M)</f>
        <v>0.02</v>
      </c>
      <c r="H148" s="72" cm="1">
        <f t="array" ref="H148">IF(Kredyt1[[#This Row],[Data]]="","",G148+MarżaBAnku)</f>
        <v>0.04</v>
      </c>
      <c r="I148" s="73">
        <f>IF(Kredyt1[[#This Row],[Data]]="","",Kredyt1[[#This Row],[Cała rata]]-Kredyt1[[#This Row],[Kapitał]])</f>
        <v>805.26411402594329</v>
      </c>
      <c r="J148" s="74" cm="1">
        <f t="array" ref="J148">IFERROR(-PPMT(Kredyt1[[#This Row],[Oprocentowanie]]/12,Kredyt1[[#This Row],[Miesiąc kredytu]],IlośćRat,KwotaKredytu),"")</f>
        <v>750.78487291936847</v>
      </c>
      <c r="K148" s="75" cm="1">
        <f t="array" ref="K148">IF(Kredyt1[[#This Row],[Miesiąc kredytu]]="","",-PMT(Kredyt1[[#This Row],[Oprocentowanie]]/12,IlośćRat,KwotaKredytu))</f>
        <v>1556.0489869453118</v>
      </c>
      <c r="L148" s="75">
        <v>0</v>
      </c>
      <c r="M148" s="76">
        <f>IFERROR(M147-J148-Kredyt1[[#This Row],[Nadpłata]],"")</f>
        <v>240828.44933486357</v>
      </c>
    </row>
    <row r="149" spans="4:13">
      <c r="D149" s="70" cm="1">
        <f t="array" ref="D149">IF(ROW(144:144)&lt;=IlośćRat,ROW(144:144),"")</f>
        <v>144</v>
      </c>
      <c r="E149" s="70">
        <f>IFERROR(ROUNDUP(Kredyt1[[#This Row],[Miesiąc kredytu]]/12,0),"")</f>
        <v>12</v>
      </c>
      <c r="F149" s="71">
        <f t="shared" si="2"/>
        <v>48458</v>
      </c>
      <c r="G149" s="72" cm="1">
        <f t="array" ref="G149">IF(Kredyt1[[#This Row],[Data]]="","",WIBOR3M)</f>
        <v>0.02</v>
      </c>
      <c r="H149" s="72" cm="1">
        <f t="array" ref="H149">IF(Kredyt1[[#This Row],[Data]]="","",G149+MarżaBAnku)</f>
        <v>0.04</v>
      </c>
      <c r="I149" s="73">
        <f>IF(Kredyt1[[#This Row],[Data]]="","",Kredyt1[[#This Row],[Cała rata]]-Kredyt1[[#This Row],[Kapitał]])</f>
        <v>802.76149778287868</v>
      </c>
      <c r="J149" s="74" cm="1">
        <f t="array" ref="J149">IFERROR(-PPMT(Kredyt1[[#This Row],[Oprocentowanie]]/12,Kredyt1[[#This Row],[Miesiąc kredytu]],IlośćRat,KwotaKredytu),"")</f>
        <v>753.28748916243308</v>
      </c>
      <c r="K149" s="75" cm="1">
        <f t="array" ref="K149">IF(Kredyt1[[#This Row],[Miesiąc kredytu]]="","",-PMT(Kredyt1[[#This Row],[Oprocentowanie]]/12,IlośćRat,KwotaKredytu))</f>
        <v>1556.0489869453118</v>
      </c>
      <c r="L149" s="75">
        <v>0</v>
      </c>
      <c r="M149" s="76">
        <f>IFERROR(M148-J149-Kredyt1[[#This Row],[Nadpłata]],"")</f>
        <v>240075.16184570114</v>
      </c>
    </row>
    <row r="150" spans="4:13">
      <c r="D150" s="70" cm="1">
        <f t="array" ref="D150">IF(ROW(145:145)&lt;=IlośćRat,ROW(145:145),"")</f>
        <v>145</v>
      </c>
      <c r="E150" s="70">
        <f>IFERROR(ROUNDUP(Kredyt1[[#This Row],[Miesiąc kredytu]]/12,0),"")</f>
        <v>13</v>
      </c>
      <c r="F150" s="71">
        <f t="shared" si="2"/>
        <v>48488</v>
      </c>
      <c r="G150" s="72" cm="1">
        <f t="array" ref="G150">IF(Kredyt1[[#This Row],[Data]]="","",WIBOR3M)</f>
        <v>0.02</v>
      </c>
      <c r="H150" s="72" cm="1">
        <f t="array" ref="H150">IF(Kredyt1[[#This Row],[Data]]="","",G150+MarżaBAnku)</f>
        <v>0.04</v>
      </c>
      <c r="I150" s="73">
        <f>IF(Kredyt1[[#This Row],[Data]]="","",Kredyt1[[#This Row],[Cała rata]]-Kredyt1[[#This Row],[Kapitał]])</f>
        <v>800.25053948567063</v>
      </c>
      <c r="J150" s="74" cm="1">
        <f t="array" ref="J150">IFERROR(-PPMT(Kredyt1[[#This Row],[Oprocentowanie]]/12,Kredyt1[[#This Row],[Miesiąc kredytu]],IlośćRat,KwotaKredytu),"")</f>
        <v>755.79844745964112</v>
      </c>
      <c r="K150" s="75" cm="1">
        <f t="array" ref="K150">IF(Kredyt1[[#This Row],[Miesiąc kredytu]]="","",-PMT(Kredyt1[[#This Row],[Oprocentowanie]]/12,IlośćRat,KwotaKredytu))</f>
        <v>1556.0489869453118</v>
      </c>
      <c r="L150" s="75">
        <v>0</v>
      </c>
      <c r="M150" s="76">
        <f>IFERROR(M149-J150-Kredyt1[[#This Row],[Nadpłata]],"")</f>
        <v>239319.36339824149</v>
      </c>
    </row>
    <row r="151" spans="4:13">
      <c r="D151" s="70" cm="1">
        <f t="array" ref="D151">IF(ROW(146:146)&lt;=IlośćRat,ROW(146:146),"")</f>
        <v>146</v>
      </c>
      <c r="E151" s="70">
        <f>IFERROR(ROUNDUP(Kredyt1[[#This Row],[Miesiąc kredytu]]/12,0),"")</f>
        <v>13</v>
      </c>
      <c r="F151" s="71">
        <f t="shared" si="2"/>
        <v>48519</v>
      </c>
      <c r="G151" s="72" cm="1">
        <f t="array" ref="G151">IF(Kredyt1[[#This Row],[Data]]="","",WIBOR3M)</f>
        <v>0.02</v>
      </c>
      <c r="H151" s="72" cm="1">
        <f t="array" ref="H151">IF(Kredyt1[[#This Row],[Data]]="","",G151+MarżaBAnku)</f>
        <v>0.04</v>
      </c>
      <c r="I151" s="73">
        <f>IF(Kredyt1[[#This Row],[Data]]="","",Kredyt1[[#This Row],[Cała rata]]-Kredyt1[[#This Row],[Kapitał]])</f>
        <v>797.73121132747178</v>
      </c>
      <c r="J151" s="74" cm="1">
        <f t="array" ref="J151">IFERROR(-PPMT(Kredyt1[[#This Row],[Oprocentowanie]]/12,Kredyt1[[#This Row],[Miesiąc kredytu]],IlośćRat,KwotaKredytu),"")</f>
        <v>758.31777561783997</v>
      </c>
      <c r="K151" s="75" cm="1">
        <f t="array" ref="K151">IF(Kredyt1[[#This Row],[Miesiąc kredytu]]="","",-PMT(Kredyt1[[#This Row],[Oprocentowanie]]/12,IlośćRat,KwotaKredytu))</f>
        <v>1556.0489869453118</v>
      </c>
      <c r="L151" s="75">
        <v>0</v>
      </c>
      <c r="M151" s="76">
        <f>IFERROR(M150-J151-Kredyt1[[#This Row],[Nadpłata]],"")</f>
        <v>238561.04562262364</v>
      </c>
    </row>
    <row r="152" spans="4:13">
      <c r="D152" s="70" cm="1">
        <f t="array" ref="D152">IF(ROW(147:147)&lt;=IlośćRat,ROW(147:147),"")</f>
        <v>147</v>
      </c>
      <c r="E152" s="70">
        <f>IFERROR(ROUNDUP(Kredyt1[[#This Row],[Miesiąc kredytu]]/12,0),"")</f>
        <v>13</v>
      </c>
      <c r="F152" s="71">
        <f t="shared" si="2"/>
        <v>48549</v>
      </c>
      <c r="G152" s="72" cm="1">
        <f t="array" ref="G152">IF(Kredyt1[[#This Row],[Data]]="","",WIBOR3M)</f>
        <v>0.02</v>
      </c>
      <c r="H152" s="72" cm="1">
        <f t="array" ref="H152">IF(Kredyt1[[#This Row],[Data]]="","",G152+MarżaBAnku)</f>
        <v>0.04</v>
      </c>
      <c r="I152" s="73">
        <f>IF(Kredyt1[[#This Row],[Data]]="","",Kredyt1[[#This Row],[Cała rata]]-Kredyt1[[#This Row],[Kapitał]])</f>
        <v>795.20348540874556</v>
      </c>
      <c r="J152" s="74" cm="1">
        <f t="array" ref="J152">IFERROR(-PPMT(Kredyt1[[#This Row],[Oprocentowanie]]/12,Kredyt1[[#This Row],[Miesiąc kredytu]],IlośćRat,KwotaKredytu),"")</f>
        <v>760.84550153656619</v>
      </c>
      <c r="K152" s="75" cm="1">
        <f t="array" ref="K152">IF(Kredyt1[[#This Row],[Miesiąc kredytu]]="","",-PMT(Kredyt1[[#This Row],[Oprocentowanie]]/12,IlośćRat,KwotaKredytu))</f>
        <v>1556.0489869453118</v>
      </c>
      <c r="L152" s="75">
        <v>0</v>
      </c>
      <c r="M152" s="76">
        <f>IFERROR(M151-J152-Kredyt1[[#This Row],[Nadpłata]],"")</f>
        <v>237800.20012108708</v>
      </c>
    </row>
    <row r="153" spans="4:13">
      <c r="D153" s="70" cm="1">
        <f t="array" ref="D153">IF(ROW(148:148)&lt;=IlośćRat,ROW(148:148),"")</f>
        <v>148</v>
      </c>
      <c r="E153" s="70">
        <f>IFERROR(ROUNDUP(Kredyt1[[#This Row],[Miesiąc kredytu]]/12,0),"")</f>
        <v>13</v>
      </c>
      <c r="F153" s="71">
        <f t="shared" si="2"/>
        <v>48580</v>
      </c>
      <c r="G153" s="72" cm="1">
        <f t="array" ref="G153">IF(Kredyt1[[#This Row],[Data]]="","",WIBOR3M)</f>
        <v>0.02</v>
      </c>
      <c r="H153" s="72" cm="1">
        <f t="array" ref="H153">IF(Kredyt1[[#This Row],[Data]]="","",G153+MarżaBAnku)</f>
        <v>0.04</v>
      </c>
      <c r="I153" s="73">
        <f>IF(Kredyt1[[#This Row],[Data]]="","",Kredyt1[[#This Row],[Cała rata]]-Kredyt1[[#This Row],[Kapitał]])</f>
        <v>792.66733373695706</v>
      </c>
      <c r="J153" s="74" cm="1">
        <f t="array" ref="J153">IFERROR(-PPMT(Kredyt1[[#This Row],[Oprocentowanie]]/12,Kredyt1[[#This Row],[Miesiąc kredytu]],IlośćRat,KwotaKredytu),"")</f>
        <v>763.38165320835469</v>
      </c>
      <c r="K153" s="75" cm="1">
        <f t="array" ref="K153">IF(Kredyt1[[#This Row],[Miesiąc kredytu]]="","",-PMT(Kredyt1[[#This Row],[Oprocentowanie]]/12,IlośćRat,KwotaKredytu))</f>
        <v>1556.0489869453118</v>
      </c>
      <c r="L153" s="75">
        <v>0</v>
      </c>
      <c r="M153" s="76">
        <f>IFERROR(M152-J153-Kredyt1[[#This Row],[Nadpłata]],"")</f>
        <v>237036.81846787874</v>
      </c>
    </row>
    <row r="154" spans="4:13">
      <c r="D154" s="70" cm="1">
        <f t="array" ref="D154">IF(ROW(149:149)&lt;=IlośćRat,ROW(149:149),"")</f>
        <v>149</v>
      </c>
      <c r="E154" s="70">
        <f>IFERROR(ROUNDUP(Kredyt1[[#This Row],[Miesiąc kredytu]]/12,0),"")</f>
        <v>13</v>
      </c>
      <c r="F154" s="71">
        <f t="shared" si="2"/>
        <v>48611</v>
      </c>
      <c r="G154" s="72" cm="1">
        <f t="array" ref="G154">IF(Kredyt1[[#This Row],[Data]]="","",WIBOR3M)</f>
        <v>0.02</v>
      </c>
      <c r="H154" s="72" cm="1">
        <f t="array" ref="H154">IF(Kredyt1[[#This Row],[Data]]="","",G154+MarżaBAnku)</f>
        <v>0.04</v>
      </c>
      <c r="I154" s="73">
        <f>IF(Kredyt1[[#This Row],[Data]]="","",Kredyt1[[#This Row],[Cała rata]]-Kredyt1[[#This Row],[Kapitał]])</f>
        <v>790.12272822626244</v>
      </c>
      <c r="J154" s="74" cm="1">
        <f t="array" ref="J154">IFERROR(-PPMT(Kredyt1[[#This Row],[Oprocentowanie]]/12,Kredyt1[[#This Row],[Miesiąc kredytu]],IlośćRat,KwotaKredytu),"")</f>
        <v>765.92625871904932</v>
      </c>
      <c r="K154" s="75" cm="1">
        <f t="array" ref="K154">IF(Kredyt1[[#This Row],[Miesiąc kredytu]]="","",-PMT(Kredyt1[[#This Row],[Oprocentowanie]]/12,IlośćRat,KwotaKredytu))</f>
        <v>1556.0489869453118</v>
      </c>
      <c r="L154" s="75">
        <v>0</v>
      </c>
      <c r="M154" s="76">
        <f>IFERROR(M153-J154-Kredyt1[[#This Row],[Nadpłata]],"")</f>
        <v>236270.89220915968</v>
      </c>
    </row>
    <row r="155" spans="4:13">
      <c r="D155" s="70" cm="1">
        <f t="array" ref="D155">IF(ROW(150:150)&lt;=IlośćRat,ROW(150:150),"")</f>
        <v>150</v>
      </c>
      <c r="E155" s="70">
        <f>IFERROR(ROUNDUP(Kredyt1[[#This Row],[Miesiąc kredytu]]/12,0),"")</f>
        <v>13</v>
      </c>
      <c r="F155" s="71">
        <f t="shared" si="2"/>
        <v>48639</v>
      </c>
      <c r="G155" s="72" cm="1">
        <f t="array" ref="G155">IF(Kredyt1[[#This Row],[Data]]="","",WIBOR3M)</f>
        <v>0.02</v>
      </c>
      <c r="H155" s="72" cm="1">
        <f t="array" ref="H155">IF(Kredyt1[[#This Row],[Data]]="","",G155+MarżaBAnku)</f>
        <v>0.04</v>
      </c>
      <c r="I155" s="73">
        <f>IF(Kredyt1[[#This Row],[Data]]="","",Kredyt1[[#This Row],[Cała rata]]-Kredyt1[[#This Row],[Kapitał]])</f>
        <v>787.56964069719913</v>
      </c>
      <c r="J155" s="74" cm="1">
        <f t="array" ref="J155">IFERROR(-PPMT(Kredyt1[[#This Row],[Oprocentowanie]]/12,Kredyt1[[#This Row],[Miesiąc kredytu]],IlośćRat,KwotaKredytu),"")</f>
        <v>768.47934624811262</v>
      </c>
      <c r="K155" s="75" cm="1">
        <f t="array" ref="K155">IF(Kredyt1[[#This Row],[Miesiąc kredytu]]="","",-PMT(Kredyt1[[#This Row],[Oprocentowanie]]/12,IlośćRat,KwotaKredytu))</f>
        <v>1556.0489869453118</v>
      </c>
      <c r="L155" s="75">
        <v>0</v>
      </c>
      <c r="M155" s="76">
        <f>IFERROR(M154-J155-Kredyt1[[#This Row],[Nadpłata]],"")</f>
        <v>235502.41286291156</v>
      </c>
    </row>
    <row r="156" spans="4:13">
      <c r="D156" s="70" cm="1">
        <f t="array" ref="D156">IF(ROW(151:151)&lt;=IlośćRat,ROW(151:151),"")</f>
        <v>151</v>
      </c>
      <c r="E156" s="70">
        <f>IFERROR(ROUNDUP(Kredyt1[[#This Row],[Miesiąc kredytu]]/12,0),"")</f>
        <v>13</v>
      </c>
      <c r="F156" s="71">
        <f t="shared" si="2"/>
        <v>48670</v>
      </c>
      <c r="G156" s="72" cm="1">
        <f t="array" ref="G156">IF(Kredyt1[[#This Row],[Data]]="","",WIBOR3M)</f>
        <v>0.02</v>
      </c>
      <c r="H156" s="72" cm="1">
        <f t="array" ref="H156">IF(Kredyt1[[#This Row],[Data]]="","",G156+MarżaBAnku)</f>
        <v>0.04</v>
      </c>
      <c r="I156" s="73">
        <f>IF(Kredyt1[[#This Row],[Data]]="","",Kredyt1[[#This Row],[Cała rata]]-Kredyt1[[#This Row],[Kapitał]])</f>
        <v>785.00804287637209</v>
      </c>
      <c r="J156" s="74" cm="1">
        <f t="array" ref="J156">IFERROR(-PPMT(Kredyt1[[#This Row],[Oprocentowanie]]/12,Kredyt1[[#This Row],[Miesiąc kredytu]],IlośćRat,KwotaKredytu),"")</f>
        <v>771.04094406893967</v>
      </c>
      <c r="K156" s="75" cm="1">
        <f t="array" ref="K156">IF(Kredyt1[[#This Row],[Miesiąc kredytu]]="","",-PMT(Kredyt1[[#This Row],[Oprocentowanie]]/12,IlośćRat,KwotaKredytu))</f>
        <v>1556.0489869453118</v>
      </c>
      <c r="L156" s="75">
        <v>0</v>
      </c>
      <c r="M156" s="76">
        <f>IFERROR(M155-J156-Kredyt1[[#This Row],[Nadpłata]],"")</f>
        <v>234731.37191884263</v>
      </c>
    </row>
    <row r="157" spans="4:13">
      <c r="D157" s="70" cm="1">
        <f t="array" ref="D157">IF(ROW(152:152)&lt;=IlośćRat,ROW(152:152),"")</f>
        <v>152</v>
      </c>
      <c r="E157" s="70">
        <f>IFERROR(ROUNDUP(Kredyt1[[#This Row],[Miesiąc kredytu]]/12,0),"")</f>
        <v>13</v>
      </c>
      <c r="F157" s="71">
        <f t="shared" si="2"/>
        <v>48700</v>
      </c>
      <c r="G157" s="72" cm="1">
        <f t="array" ref="G157">IF(Kredyt1[[#This Row],[Data]]="","",WIBOR3M)</f>
        <v>0.02</v>
      </c>
      <c r="H157" s="72" cm="1">
        <f t="array" ref="H157">IF(Kredyt1[[#This Row],[Data]]="","",G157+MarżaBAnku)</f>
        <v>0.04</v>
      </c>
      <c r="I157" s="73">
        <f>IF(Kredyt1[[#This Row],[Data]]="","",Kredyt1[[#This Row],[Cała rata]]-Kredyt1[[#This Row],[Kapitał]])</f>
        <v>782.43790639614224</v>
      </c>
      <c r="J157" s="74" cm="1">
        <f t="array" ref="J157">IFERROR(-PPMT(Kredyt1[[#This Row],[Oprocentowanie]]/12,Kredyt1[[#This Row],[Miesiąc kredytu]],IlośćRat,KwotaKredytu),"")</f>
        <v>773.61108054916951</v>
      </c>
      <c r="K157" s="75" cm="1">
        <f t="array" ref="K157">IF(Kredyt1[[#This Row],[Miesiąc kredytu]]="","",-PMT(Kredyt1[[#This Row],[Oprocentowanie]]/12,IlośćRat,KwotaKredytu))</f>
        <v>1556.0489869453118</v>
      </c>
      <c r="L157" s="75">
        <v>0</v>
      </c>
      <c r="M157" s="76">
        <f>IFERROR(M156-J157-Kredyt1[[#This Row],[Nadpłata]],"")</f>
        <v>233957.76083829347</v>
      </c>
    </row>
    <row r="158" spans="4:13">
      <c r="D158" s="70" cm="1">
        <f t="array" ref="D158">IF(ROW(153:153)&lt;=IlośćRat,ROW(153:153),"")</f>
        <v>153</v>
      </c>
      <c r="E158" s="70">
        <f>IFERROR(ROUNDUP(Kredyt1[[#This Row],[Miesiąc kredytu]]/12,0),"")</f>
        <v>13</v>
      </c>
      <c r="F158" s="71">
        <f t="shared" si="2"/>
        <v>48731</v>
      </c>
      <c r="G158" s="72" cm="1">
        <f t="array" ref="G158">IF(Kredyt1[[#This Row],[Data]]="","",WIBOR3M)</f>
        <v>0.02</v>
      </c>
      <c r="H158" s="72" cm="1">
        <f t="array" ref="H158">IF(Kredyt1[[#This Row],[Data]]="","",G158+MarżaBAnku)</f>
        <v>0.04</v>
      </c>
      <c r="I158" s="73">
        <f>IF(Kredyt1[[#This Row],[Data]]="","",Kredyt1[[#This Row],[Cała rata]]-Kredyt1[[#This Row],[Kapitał]])</f>
        <v>779.85920279431161</v>
      </c>
      <c r="J158" s="74" cm="1">
        <f t="array" ref="J158">IFERROR(-PPMT(Kredyt1[[#This Row],[Oprocentowanie]]/12,Kredyt1[[#This Row],[Miesiąc kredytu]],IlośćRat,KwotaKredytu),"")</f>
        <v>776.18978415100014</v>
      </c>
      <c r="K158" s="75" cm="1">
        <f t="array" ref="K158">IF(Kredyt1[[#This Row],[Miesiąc kredytu]]="","",-PMT(Kredyt1[[#This Row],[Oprocentowanie]]/12,IlośćRat,KwotaKredytu))</f>
        <v>1556.0489869453118</v>
      </c>
      <c r="L158" s="75">
        <v>0</v>
      </c>
      <c r="M158" s="76">
        <f>IFERROR(M157-J158-Kredyt1[[#This Row],[Nadpłata]],"")</f>
        <v>233181.57105414246</v>
      </c>
    </row>
    <row r="159" spans="4:13">
      <c r="D159" s="70" cm="1">
        <f t="array" ref="D159">IF(ROW(154:154)&lt;=IlośćRat,ROW(154:154),"")</f>
        <v>154</v>
      </c>
      <c r="E159" s="70">
        <f>IFERROR(ROUNDUP(Kredyt1[[#This Row],[Miesiąc kredytu]]/12,0),"")</f>
        <v>13</v>
      </c>
      <c r="F159" s="71">
        <f t="shared" si="2"/>
        <v>48761</v>
      </c>
      <c r="G159" s="72" cm="1">
        <f t="array" ref="G159">IF(Kredyt1[[#This Row],[Data]]="","",WIBOR3M)</f>
        <v>0.02</v>
      </c>
      <c r="H159" s="72" cm="1">
        <f t="array" ref="H159">IF(Kredyt1[[#This Row],[Data]]="","",G159+MarżaBAnku)</f>
        <v>0.04</v>
      </c>
      <c r="I159" s="73">
        <f>IF(Kredyt1[[#This Row],[Data]]="","",Kredyt1[[#This Row],[Cała rata]]-Kredyt1[[#This Row],[Kapitał]])</f>
        <v>777.2719035138083</v>
      </c>
      <c r="J159" s="74" cm="1">
        <f t="array" ref="J159">IFERROR(-PPMT(Kredyt1[[#This Row],[Oprocentowanie]]/12,Kredyt1[[#This Row],[Miesiąc kredytu]],IlośćRat,KwotaKredytu),"")</f>
        <v>778.77708343150346</v>
      </c>
      <c r="K159" s="75" cm="1">
        <f t="array" ref="K159">IF(Kredyt1[[#This Row],[Miesiąc kredytu]]="","",-PMT(Kredyt1[[#This Row],[Oprocentowanie]]/12,IlośćRat,KwotaKredytu))</f>
        <v>1556.0489869453118</v>
      </c>
      <c r="L159" s="75">
        <v>0</v>
      </c>
      <c r="M159" s="76">
        <f>IFERROR(M158-J159-Kredyt1[[#This Row],[Nadpłata]],"")</f>
        <v>232402.79397071095</v>
      </c>
    </row>
    <row r="160" spans="4:13">
      <c r="D160" s="70" cm="1">
        <f t="array" ref="D160">IF(ROW(155:155)&lt;=IlośćRat,ROW(155:155),"")</f>
        <v>155</v>
      </c>
      <c r="E160" s="70">
        <f>IFERROR(ROUNDUP(Kredyt1[[#This Row],[Miesiąc kredytu]]/12,0),"")</f>
        <v>13</v>
      </c>
      <c r="F160" s="71">
        <f t="shared" si="2"/>
        <v>48792</v>
      </c>
      <c r="G160" s="72" cm="1">
        <f t="array" ref="G160">IF(Kredyt1[[#This Row],[Data]]="","",WIBOR3M)</f>
        <v>0.02</v>
      </c>
      <c r="H160" s="72" cm="1">
        <f t="array" ref="H160">IF(Kredyt1[[#This Row],[Data]]="","",G160+MarżaBAnku)</f>
        <v>0.04</v>
      </c>
      <c r="I160" s="73">
        <f>IF(Kredyt1[[#This Row],[Data]]="","",Kredyt1[[#This Row],[Cała rata]]-Kredyt1[[#This Row],[Kapitał]])</f>
        <v>774.67597990237005</v>
      </c>
      <c r="J160" s="74" cm="1">
        <f t="array" ref="J160">IFERROR(-PPMT(Kredyt1[[#This Row],[Oprocentowanie]]/12,Kredyt1[[#This Row],[Miesiąc kredytu]],IlośćRat,KwotaKredytu),"")</f>
        <v>781.37300704294171</v>
      </c>
      <c r="K160" s="75" cm="1">
        <f t="array" ref="K160">IF(Kredyt1[[#This Row],[Miesiąc kredytu]]="","",-PMT(Kredyt1[[#This Row],[Oprocentowanie]]/12,IlośćRat,KwotaKredytu))</f>
        <v>1556.0489869453118</v>
      </c>
      <c r="L160" s="75">
        <v>0</v>
      </c>
      <c r="M160" s="76">
        <f>IFERROR(M159-J160-Kredyt1[[#This Row],[Nadpłata]],"")</f>
        <v>231621.420963668</v>
      </c>
    </row>
    <row r="161" spans="4:13">
      <c r="D161" s="70" cm="1">
        <f t="array" ref="D161">IF(ROW(156:156)&lt;=IlośćRat,ROW(156:156),"")</f>
        <v>156</v>
      </c>
      <c r="E161" s="70">
        <f>IFERROR(ROUNDUP(Kredyt1[[#This Row],[Miesiąc kredytu]]/12,0),"")</f>
        <v>13</v>
      </c>
      <c r="F161" s="71">
        <f t="shared" si="2"/>
        <v>48823</v>
      </c>
      <c r="G161" s="72" cm="1">
        <f t="array" ref="G161">IF(Kredyt1[[#This Row],[Data]]="","",WIBOR3M)</f>
        <v>0.02</v>
      </c>
      <c r="H161" s="72" cm="1">
        <f t="array" ref="H161">IF(Kredyt1[[#This Row],[Data]]="","",G161+MarżaBAnku)</f>
        <v>0.04</v>
      </c>
      <c r="I161" s="73">
        <f>IF(Kredyt1[[#This Row],[Data]]="","",Kredyt1[[#This Row],[Cała rata]]-Kredyt1[[#This Row],[Kapitał]])</f>
        <v>772.07140321222687</v>
      </c>
      <c r="J161" s="74" cm="1">
        <f t="array" ref="J161">IFERROR(-PPMT(Kredyt1[[#This Row],[Oprocentowanie]]/12,Kredyt1[[#This Row],[Miesiąc kredytu]],IlośćRat,KwotaKredytu),"")</f>
        <v>783.97758373308488</v>
      </c>
      <c r="K161" s="75" cm="1">
        <f t="array" ref="K161">IF(Kredyt1[[#This Row],[Miesiąc kredytu]]="","",-PMT(Kredyt1[[#This Row],[Oprocentowanie]]/12,IlośćRat,KwotaKredytu))</f>
        <v>1556.0489869453118</v>
      </c>
      <c r="L161" s="75">
        <v>0</v>
      </c>
      <c r="M161" s="76">
        <f>IFERROR(M160-J161-Kredyt1[[#This Row],[Nadpłata]],"")</f>
        <v>230837.44337993491</v>
      </c>
    </row>
    <row r="162" spans="4:13">
      <c r="D162" s="70" cm="1">
        <f t="array" ref="D162">IF(ROW(157:157)&lt;=IlośćRat,ROW(157:157),"")</f>
        <v>157</v>
      </c>
      <c r="E162" s="70">
        <f>IFERROR(ROUNDUP(Kredyt1[[#This Row],[Miesiąc kredytu]]/12,0),"")</f>
        <v>14</v>
      </c>
      <c r="F162" s="71">
        <f t="shared" si="2"/>
        <v>48853</v>
      </c>
      <c r="G162" s="72" cm="1">
        <f t="array" ref="G162">IF(Kredyt1[[#This Row],[Data]]="","",WIBOR3M)</f>
        <v>0.02</v>
      </c>
      <c r="H162" s="72" cm="1">
        <f t="array" ref="H162">IF(Kredyt1[[#This Row],[Data]]="","",G162+MarżaBAnku)</f>
        <v>0.04</v>
      </c>
      <c r="I162" s="73">
        <f>IF(Kredyt1[[#This Row],[Data]]="","",Kredyt1[[#This Row],[Cała rata]]-Kredyt1[[#This Row],[Kapitał]])</f>
        <v>769.45814459978328</v>
      </c>
      <c r="J162" s="74" cm="1">
        <f t="array" ref="J162">IFERROR(-PPMT(Kredyt1[[#This Row],[Oprocentowanie]]/12,Kredyt1[[#This Row],[Miesiąc kredytu]],IlośćRat,KwotaKredytu),"")</f>
        <v>786.59084234552847</v>
      </c>
      <c r="K162" s="75" cm="1">
        <f t="array" ref="K162">IF(Kredyt1[[#This Row],[Miesiąc kredytu]]="","",-PMT(Kredyt1[[#This Row],[Oprocentowanie]]/12,IlośćRat,KwotaKredytu))</f>
        <v>1556.0489869453118</v>
      </c>
      <c r="L162" s="75">
        <v>0</v>
      </c>
      <c r="M162" s="76">
        <f>IFERROR(M161-J162-Kredyt1[[#This Row],[Nadpłata]],"")</f>
        <v>230050.85253758938</v>
      </c>
    </row>
    <row r="163" spans="4:13">
      <c r="D163" s="70" cm="1">
        <f t="array" ref="D163">IF(ROW(158:158)&lt;=IlośćRat,ROW(158:158),"")</f>
        <v>158</v>
      </c>
      <c r="E163" s="70">
        <f>IFERROR(ROUNDUP(Kredyt1[[#This Row],[Miesiąc kredytu]]/12,0),"")</f>
        <v>14</v>
      </c>
      <c r="F163" s="71">
        <f t="shared" si="2"/>
        <v>48884</v>
      </c>
      <c r="G163" s="72" cm="1">
        <f t="array" ref="G163">IF(Kredyt1[[#This Row],[Data]]="","",WIBOR3M)</f>
        <v>0.02</v>
      </c>
      <c r="H163" s="72" cm="1">
        <f t="array" ref="H163">IF(Kredyt1[[#This Row],[Data]]="","",G163+MarżaBAnku)</f>
        <v>0.04</v>
      </c>
      <c r="I163" s="73">
        <f>IF(Kredyt1[[#This Row],[Data]]="","",Kredyt1[[#This Row],[Cała rata]]-Kredyt1[[#This Row],[Kapitał]])</f>
        <v>766.83617512529815</v>
      </c>
      <c r="J163" s="74" cm="1">
        <f t="array" ref="J163">IFERROR(-PPMT(Kredyt1[[#This Row],[Oprocentowanie]]/12,Kredyt1[[#This Row],[Miesiąc kredytu]],IlośćRat,KwotaKredytu),"")</f>
        <v>789.2128118200136</v>
      </c>
      <c r="K163" s="75" cm="1">
        <f t="array" ref="K163">IF(Kredyt1[[#This Row],[Miesiąc kredytu]]="","",-PMT(Kredyt1[[#This Row],[Oprocentowanie]]/12,IlośćRat,KwotaKredytu))</f>
        <v>1556.0489869453118</v>
      </c>
      <c r="L163" s="75">
        <v>0</v>
      </c>
      <c r="M163" s="76">
        <f>IFERROR(M162-J163-Kredyt1[[#This Row],[Nadpłata]],"")</f>
        <v>229261.63972576938</v>
      </c>
    </row>
    <row r="164" spans="4:13">
      <c r="D164" s="70" cm="1">
        <f t="array" ref="D164">IF(ROW(159:159)&lt;=IlośćRat,ROW(159:159),"")</f>
        <v>159</v>
      </c>
      <c r="E164" s="70">
        <f>IFERROR(ROUNDUP(Kredyt1[[#This Row],[Miesiąc kredytu]]/12,0),"")</f>
        <v>14</v>
      </c>
      <c r="F164" s="71">
        <f t="shared" si="2"/>
        <v>48914</v>
      </c>
      <c r="G164" s="72" cm="1">
        <f t="array" ref="G164">IF(Kredyt1[[#This Row],[Data]]="","",WIBOR3M)</f>
        <v>0.02</v>
      </c>
      <c r="H164" s="72" cm="1">
        <f t="array" ref="H164">IF(Kredyt1[[#This Row],[Data]]="","",G164+MarżaBAnku)</f>
        <v>0.04</v>
      </c>
      <c r="I164" s="73">
        <f>IF(Kredyt1[[#This Row],[Data]]="","",Kredyt1[[#This Row],[Cała rata]]-Kredyt1[[#This Row],[Kapitał]])</f>
        <v>764.20546575256481</v>
      </c>
      <c r="J164" s="74" cm="1">
        <f t="array" ref="J164">IFERROR(-PPMT(Kredyt1[[#This Row],[Oprocentowanie]]/12,Kredyt1[[#This Row],[Miesiąc kredytu]],IlośćRat,KwotaKredytu),"")</f>
        <v>791.84352119274695</v>
      </c>
      <c r="K164" s="75" cm="1">
        <f t="array" ref="K164">IF(Kredyt1[[#This Row],[Miesiąc kredytu]]="","",-PMT(Kredyt1[[#This Row],[Oprocentowanie]]/12,IlośćRat,KwotaKredytu))</f>
        <v>1556.0489869453118</v>
      </c>
      <c r="L164" s="75">
        <v>0</v>
      </c>
      <c r="M164" s="76">
        <f>IFERROR(M163-J164-Kredyt1[[#This Row],[Nadpłata]],"")</f>
        <v>228469.79620457662</v>
      </c>
    </row>
    <row r="165" spans="4:13">
      <c r="D165" s="70" cm="1">
        <f t="array" ref="D165">IF(ROW(160:160)&lt;=IlośćRat,ROW(160:160),"")</f>
        <v>160</v>
      </c>
      <c r="E165" s="70">
        <f>IFERROR(ROUNDUP(Kredyt1[[#This Row],[Miesiąc kredytu]]/12,0),"")</f>
        <v>14</v>
      </c>
      <c r="F165" s="71">
        <f t="shared" si="2"/>
        <v>48945</v>
      </c>
      <c r="G165" s="72" cm="1">
        <f t="array" ref="G165">IF(Kredyt1[[#This Row],[Data]]="","",WIBOR3M)</f>
        <v>0.02</v>
      </c>
      <c r="H165" s="72" cm="1">
        <f t="array" ref="H165">IF(Kredyt1[[#This Row],[Data]]="","",G165+MarżaBAnku)</f>
        <v>0.04</v>
      </c>
      <c r="I165" s="73">
        <f>IF(Kredyt1[[#This Row],[Data]]="","",Kredyt1[[#This Row],[Cała rata]]-Kredyt1[[#This Row],[Kapitał]])</f>
        <v>761.56598734858892</v>
      </c>
      <c r="J165" s="74" cm="1">
        <f t="array" ref="J165">IFERROR(-PPMT(Kredyt1[[#This Row],[Oprocentowanie]]/12,Kredyt1[[#This Row],[Miesiąc kredytu]],IlośćRat,KwotaKredytu),"")</f>
        <v>794.48299959672283</v>
      </c>
      <c r="K165" s="75" cm="1">
        <f t="array" ref="K165">IF(Kredyt1[[#This Row],[Miesiąc kredytu]]="","",-PMT(Kredyt1[[#This Row],[Oprocentowanie]]/12,IlośćRat,KwotaKredytu))</f>
        <v>1556.0489869453118</v>
      </c>
      <c r="L165" s="75">
        <v>0</v>
      </c>
      <c r="M165" s="76">
        <f>IFERROR(M164-J165-Kredyt1[[#This Row],[Nadpłata]],"")</f>
        <v>227675.3132049799</v>
      </c>
    </row>
    <row r="166" spans="4:13">
      <c r="D166" s="70" cm="1">
        <f t="array" ref="D166">IF(ROW(161:161)&lt;=IlośćRat,ROW(161:161),"")</f>
        <v>161</v>
      </c>
      <c r="E166" s="70">
        <f>IFERROR(ROUNDUP(Kredyt1[[#This Row],[Miesiąc kredytu]]/12,0),"")</f>
        <v>14</v>
      </c>
      <c r="F166" s="71">
        <f t="shared" si="2"/>
        <v>48976</v>
      </c>
      <c r="G166" s="72" cm="1">
        <f t="array" ref="G166">IF(Kredyt1[[#This Row],[Data]]="","",WIBOR3M)</f>
        <v>0.02</v>
      </c>
      <c r="H166" s="72" cm="1">
        <f t="array" ref="H166">IF(Kredyt1[[#This Row],[Data]]="","",G166+MarżaBAnku)</f>
        <v>0.04</v>
      </c>
      <c r="I166" s="73">
        <f>IF(Kredyt1[[#This Row],[Data]]="","",Kredyt1[[#This Row],[Cała rata]]-Kredyt1[[#This Row],[Kapitał]])</f>
        <v>758.91771068326648</v>
      </c>
      <c r="J166" s="74" cm="1">
        <f t="array" ref="J166">IFERROR(-PPMT(Kredyt1[[#This Row],[Oprocentowanie]]/12,Kredyt1[[#This Row],[Miesiąc kredytu]],IlośćRat,KwotaKredytu),"")</f>
        <v>797.13127626204528</v>
      </c>
      <c r="K166" s="75" cm="1">
        <f t="array" ref="K166">IF(Kredyt1[[#This Row],[Miesiąc kredytu]]="","",-PMT(Kredyt1[[#This Row],[Oprocentowanie]]/12,IlośćRat,KwotaKredytu))</f>
        <v>1556.0489869453118</v>
      </c>
      <c r="L166" s="75">
        <v>0</v>
      </c>
      <c r="M166" s="76">
        <f>IFERROR(M165-J166-Kredyt1[[#This Row],[Nadpłata]],"")</f>
        <v>226878.18192871785</v>
      </c>
    </row>
    <row r="167" spans="4:13">
      <c r="D167" s="70" cm="1">
        <f t="array" ref="D167">IF(ROW(162:162)&lt;=IlośćRat,ROW(162:162),"")</f>
        <v>162</v>
      </c>
      <c r="E167" s="70">
        <f>IFERROR(ROUNDUP(Kredyt1[[#This Row],[Miesiąc kredytu]]/12,0),"")</f>
        <v>14</v>
      </c>
      <c r="F167" s="71">
        <f t="shared" si="2"/>
        <v>49004</v>
      </c>
      <c r="G167" s="72" cm="1">
        <f t="array" ref="G167">IF(Kredyt1[[#This Row],[Data]]="","",WIBOR3M)</f>
        <v>0.02</v>
      </c>
      <c r="H167" s="72" cm="1">
        <f t="array" ref="H167">IF(Kredyt1[[#This Row],[Data]]="","",G167+MarżaBAnku)</f>
        <v>0.04</v>
      </c>
      <c r="I167" s="73">
        <f>IF(Kredyt1[[#This Row],[Data]]="","",Kredyt1[[#This Row],[Cała rata]]-Kredyt1[[#This Row],[Kapitał]])</f>
        <v>756.26060642905975</v>
      </c>
      <c r="J167" s="74" cm="1">
        <f t="array" ref="J167">IFERROR(-PPMT(Kredyt1[[#This Row],[Oprocentowanie]]/12,Kredyt1[[#This Row],[Miesiąc kredytu]],IlośćRat,KwotaKredytu),"")</f>
        <v>799.788380516252</v>
      </c>
      <c r="K167" s="75" cm="1">
        <f t="array" ref="K167">IF(Kredyt1[[#This Row],[Miesiąc kredytu]]="","",-PMT(Kredyt1[[#This Row],[Oprocentowanie]]/12,IlośćRat,KwotaKredytu))</f>
        <v>1556.0489869453118</v>
      </c>
      <c r="L167" s="75">
        <v>0</v>
      </c>
      <c r="M167" s="76">
        <f>IFERROR(M166-J167-Kredyt1[[#This Row],[Nadpłata]],"")</f>
        <v>226078.39354820159</v>
      </c>
    </row>
    <row r="168" spans="4:13">
      <c r="D168" s="70" cm="1">
        <f t="array" ref="D168">IF(ROW(163:163)&lt;=IlośćRat,ROW(163:163),"")</f>
        <v>163</v>
      </c>
      <c r="E168" s="70">
        <f>IFERROR(ROUNDUP(Kredyt1[[#This Row],[Miesiąc kredytu]]/12,0),"")</f>
        <v>14</v>
      </c>
      <c r="F168" s="71">
        <f t="shared" si="2"/>
        <v>49035</v>
      </c>
      <c r="G168" s="72" cm="1">
        <f t="array" ref="G168">IF(Kredyt1[[#This Row],[Data]]="","",WIBOR3M)</f>
        <v>0.02</v>
      </c>
      <c r="H168" s="72" cm="1">
        <f t="array" ref="H168">IF(Kredyt1[[#This Row],[Data]]="","",G168+MarżaBAnku)</f>
        <v>0.04</v>
      </c>
      <c r="I168" s="73">
        <f>IF(Kredyt1[[#This Row],[Data]]="","",Kredyt1[[#This Row],[Cała rata]]-Kredyt1[[#This Row],[Kapitał]])</f>
        <v>753.59464516067226</v>
      </c>
      <c r="J168" s="74" cm="1">
        <f t="array" ref="J168">IFERROR(-PPMT(Kredyt1[[#This Row],[Oprocentowanie]]/12,Kredyt1[[#This Row],[Miesiąc kredytu]],IlośćRat,KwotaKredytu),"")</f>
        <v>802.4543417846395</v>
      </c>
      <c r="K168" s="75" cm="1">
        <f t="array" ref="K168">IF(Kredyt1[[#This Row],[Miesiąc kredytu]]="","",-PMT(Kredyt1[[#This Row],[Oprocentowanie]]/12,IlośćRat,KwotaKredytu))</f>
        <v>1556.0489869453118</v>
      </c>
      <c r="L168" s="75">
        <v>0</v>
      </c>
      <c r="M168" s="76">
        <f>IFERROR(M167-J168-Kredyt1[[#This Row],[Nadpłata]],"")</f>
        <v>225275.93920641695</v>
      </c>
    </row>
    <row r="169" spans="4:13">
      <c r="D169" s="70" cm="1">
        <f t="array" ref="D169">IF(ROW(164:164)&lt;=IlośćRat,ROW(164:164),"")</f>
        <v>164</v>
      </c>
      <c r="E169" s="70">
        <f>IFERROR(ROUNDUP(Kredyt1[[#This Row],[Miesiąc kredytu]]/12,0),"")</f>
        <v>14</v>
      </c>
      <c r="F169" s="71">
        <f t="shared" si="2"/>
        <v>49065</v>
      </c>
      <c r="G169" s="72" cm="1">
        <f t="array" ref="G169">IF(Kredyt1[[#This Row],[Data]]="","",WIBOR3M)</f>
        <v>0.02</v>
      </c>
      <c r="H169" s="72" cm="1">
        <f t="array" ref="H169">IF(Kredyt1[[#This Row],[Data]]="","",G169+MarżaBAnku)</f>
        <v>0.04</v>
      </c>
      <c r="I169" s="73">
        <f>IF(Kredyt1[[#This Row],[Data]]="","",Kredyt1[[#This Row],[Cała rata]]-Kredyt1[[#This Row],[Kapitał]])</f>
        <v>750.91979735472341</v>
      </c>
      <c r="J169" s="74" cm="1">
        <f t="array" ref="J169">IFERROR(-PPMT(Kredyt1[[#This Row],[Oprocentowanie]]/12,Kredyt1[[#This Row],[Miesiąc kredytu]],IlośćRat,KwotaKredytu),"")</f>
        <v>805.12918959058834</v>
      </c>
      <c r="K169" s="75" cm="1">
        <f t="array" ref="K169">IF(Kredyt1[[#This Row],[Miesiąc kredytu]]="","",-PMT(Kredyt1[[#This Row],[Oprocentowanie]]/12,IlośćRat,KwotaKredytu))</f>
        <v>1556.0489869453118</v>
      </c>
      <c r="L169" s="75">
        <v>0</v>
      </c>
      <c r="M169" s="76">
        <f>IFERROR(M168-J169-Kredyt1[[#This Row],[Nadpłata]],"")</f>
        <v>224470.81001682638</v>
      </c>
    </row>
    <row r="170" spans="4:13">
      <c r="D170" s="70" cm="1">
        <f t="array" ref="D170">IF(ROW(165:165)&lt;=IlośćRat,ROW(165:165),"")</f>
        <v>165</v>
      </c>
      <c r="E170" s="70">
        <f>IFERROR(ROUNDUP(Kredyt1[[#This Row],[Miesiąc kredytu]]/12,0),"")</f>
        <v>14</v>
      </c>
      <c r="F170" s="71">
        <f t="shared" si="2"/>
        <v>49096</v>
      </c>
      <c r="G170" s="72" cm="1">
        <f t="array" ref="G170">IF(Kredyt1[[#This Row],[Data]]="","",WIBOR3M)</f>
        <v>0.02</v>
      </c>
      <c r="H170" s="72" cm="1">
        <f t="array" ref="H170">IF(Kredyt1[[#This Row],[Data]]="","",G170+MarżaBAnku)</f>
        <v>0.04</v>
      </c>
      <c r="I170" s="73">
        <f>IF(Kredyt1[[#This Row],[Data]]="","",Kredyt1[[#This Row],[Cała rata]]-Kredyt1[[#This Row],[Kapitał]])</f>
        <v>748.23603338942132</v>
      </c>
      <c r="J170" s="74" cm="1">
        <f t="array" ref="J170">IFERROR(-PPMT(Kredyt1[[#This Row],[Oprocentowanie]]/12,Kredyt1[[#This Row],[Miesiąc kredytu]],IlośćRat,KwotaKredytu),"")</f>
        <v>807.81295355589043</v>
      </c>
      <c r="K170" s="75" cm="1">
        <f t="array" ref="K170">IF(Kredyt1[[#This Row],[Miesiąc kredytu]]="","",-PMT(Kredyt1[[#This Row],[Oprocentowanie]]/12,IlośćRat,KwotaKredytu))</f>
        <v>1556.0489869453118</v>
      </c>
      <c r="L170" s="75">
        <v>0</v>
      </c>
      <c r="M170" s="76">
        <f>IFERROR(M169-J170-Kredyt1[[#This Row],[Nadpłata]],"")</f>
        <v>223662.99706327048</v>
      </c>
    </row>
    <row r="171" spans="4:13">
      <c r="D171" s="70" cm="1">
        <f t="array" ref="D171">IF(ROW(166:166)&lt;=IlośćRat,ROW(166:166),"")</f>
        <v>166</v>
      </c>
      <c r="E171" s="70">
        <f>IFERROR(ROUNDUP(Kredyt1[[#This Row],[Miesiąc kredytu]]/12,0),"")</f>
        <v>14</v>
      </c>
      <c r="F171" s="71">
        <f t="shared" si="2"/>
        <v>49126</v>
      </c>
      <c r="G171" s="72" cm="1">
        <f t="array" ref="G171">IF(Kredyt1[[#This Row],[Data]]="","",WIBOR3M)</f>
        <v>0.02</v>
      </c>
      <c r="H171" s="72" cm="1">
        <f t="array" ref="H171">IF(Kredyt1[[#This Row],[Data]]="","",G171+MarżaBAnku)</f>
        <v>0.04</v>
      </c>
      <c r="I171" s="73">
        <f>IF(Kredyt1[[#This Row],[Data]]="","",Kredyt1[[#This Row],[Cała rata]]-Kredyt1[[#This Row],[Kapitał]])</f>
        <v>745.54332354423514</v>
      </c>
      <c r="J171" s="74" cm="1">
        <f t="array" ref="J171">IFERROR(-PPMT(Kredyt1[[#This Row],[Oprocentowanie]]/12,Kredyt1[[#This Row],[Miesiąc kredytu]],IlośćRat,KwotaKredytu),"")</f>
        <v>810.50566340107662</v>
      </c>
      <c r="K171" s="75" cm="1">
        <f t="array" ref="K171">IF(Kredyt1[[#This Row],[Miesiąc kredytu]]="","",-PMT(Kredyt1[[#This Row],[Oprocentowanie]]/12,IlośćRat,KwotaKredytu))</f>
        <v>1556.0489869453118</v>
      </c>
      <c r="L171" s="75">
        <v>0</v>
      </c>
      <c r="M171" s="76">
        <f>IFERROR(M170-J171-Kredyt1[[#This Row],[Nadpłata]],"")</f>
        <v>222852.49139986941</v>
      </c>
    </row>
    <row r="172" spans="4:13">
      <c r="D172" s="70" cm="1">
        <f t="array" ref="D172">IF(ROW(167:167)&lt;=IlośćRat,ROW(167:167),"")</f>
        <v>167</v>
      </c>
      <c r="E172" s="70">
        <f>IFERROR(ROUNDUP(Kredyt1[[#This Row],[Miesiąc kredytu]]/12,0),"")</f>
        <v>14</v>
      </c>
      <c r="F172" s="71">
        <f t="shared" si="2"/>
        <v>49157</v>
      </c>
      <c r="G172" s="72" cm="1">
        <f t="array" ref="G172">IF(Kredyt1[[#This Row],[Data]]="","",WIBOR3M)</f>
        <v>0.02</v>
      </c>
      <c r="H172" s="72" cm="1">
        <f t="array" ref="H172">IF(Kredyt1[[#This Row],[Data]]="","",G172+MarżaBAnku)</f>
        <v>0.04</v>
      </c>
      <c r="I172" s="73">
        <f>IF(Kredyt1[[#This Row],[Data]]="","",Kredyt1[[#This Row],[Cała rata]]-Kredyt1[[#This Row],[Kapitał]])</f>
        <v>742.8416379995648</v>
      </c>
      <c r="J172" s="74" cm="1">
        <f t="array" ref="J172">IFERROR(-PPMT(Kredyt1[[#This Row],[Oprocentowanie]]/12,Kredyt1[[#This Row],[Miesiąc kredytu]],IlośćRat,KwotaKredytu),"")</f>
        <v>813.20734894574696</v>
      </c>
      <c r="K172" s="75" cm="1">
        <f t="array" ref="K172">IF(Kredyt1[[#This Row],[Miesiąc kredytu]]="","",-PMT(Kredyt1[[#This Row],[Oprocentowanie]]/12,IlośćRat,KwotaKredytu))</f>
        <v>1556.0489869453118</v>
      </c>
      <c r="L172" s="75">
        <v>0</v>
      </c>
      <c r="M172" s="76">
        <f>IFERROR(M171-J172-Kredyt1[[#This Row],[Nadpłata]],"")</f>
        <v>222039.28405092366</v>
      </c>
    </row>
    <row r="173" spans="4:13">
      <c r="D173" s="70" cm="1">
        <f t="array" ref="D173">IF(ROW(168:168)&lt;=IlośćRat,ROW(168:168),"")</f>
        <v>168</v>
      </c>
      <c r="E173" s="70">
        <f>IFERROR(ROUNDUP(Kredyt1[[#This Row],[Miesiąc kredytu]]/12,0),"")</f>
        <v>14</v>
      </c>
      <c r="F173" s="71">
        <f t="shared" si="2"/>
        <v>49188</v>
      </c>
      <c r="G173" s="72" cm="1">
        <f t="array" ref="G173">IF(Kredyt1[[#This Row],[Data]]="","",WIBOR3M)</f>
        <v>0.02</v>
      </c>
      <c r="H173" s="72" cm="1">
        <f t="array" ref="H173">IF(Kredyt1[[#This Row],[Data]]="","",G173+MarżaBAnku)</f>
        <v>0.04</v>
      </c>
      <c r="I173" s="73">
        <f>IF(Kredyt1[[#This Row],[Data]]="","",Kredyt1[[#This Row],[Cała rata]]-Kredyt1[[#This Row],[Kapitał]])</f>
        <v>740.13094683641236</v>
      </c>
      <c r="J173" s="74" cm="1">
        <f t="array" ref="J173">IFERROR(-PPMT(Kredyt1[[#This Row],[Oprocentowanie]]/12,Kredyt1[[#This Row],[Miesiąc kredytu]],IlośćRat,KwotaKredytu),"")</f>
        <v>815.91804010889939</v>
      </c>
      <c r="K173" s="75" cm="1">
        <f t="array" ref="K173">IF(Kredyt1[[#This Row],[Miesiąc kredytu]]="","",-PMT(Kredyt1[[#This Row],[Oprocentowanie]]/12,IlośćRat,KwotaKredytu))</f>
        <v>1556.0489869453118</v>
      </c>
      <c r="L173" s="75">
        <v>0</v>
      </c>
      <c r="M173" s="76">
        <f>IFERROR(M172-J173-Kredyt1[[#This Row],[Nadpłata]],"")</f>
        <v>221223.36601081476</v>
      </c>
    </row>
    <row r="174" spans="4:13">
      <c r="D174" s="70" cm="1">
        <f t="array" ref="D174">IF(ROW(169:169)&lt;=IlośćRat,ROW(169:169),"")</f>
        <v>169</v>
      </c>
      <c r="E174" s="70">
        <f>IFERROR(ROUNDUP(Kredyt1[[#This Row],[Miesiąc kredytu]]/12,0),"")</f>
        <v>15</v>
      </c>
      <c r="F174" s="71">
        <f t="shared" si="2"/>
        <v>49218</v>
      </c>
      <c r="G174" s="72" cm="1">
        <f t="array" ref="G174">IF(Kredyt1[[#This Row],[Data]]="","",WIBOR3M)</f>
        <v>0.02</v>
      </c>
      <c r="H174" s="72" cm="1">
        <f t="array" ref="H174">IF(Kredyt1[[#This Row],[Data]]="","",G174+MarżaBAnku)</f>
        <v>0.04</v>
      </c>
      <c r="I174" s="73">
        <f>IF(Kredyt1[[#This Row],[Data]]="","",Kredyt1[[#This Row],[Cała rata]]-Kredyt1[[#This Row],[Kapitał]])</f>
        <v>737.41122003604937</v>
      </c>
      <c r="J174" s="74" cm="1">
        <f t="array" ref="J174">IFERROR(-PPMT(Kredyt1[[#This Row],[Oprocentowanie]]/12,Kredyt1[[#This Row],[Miesiąc kredytu]],IlośćRat,KwotaKredytu),"")</f>
        <v>818.63776690926238</v>
      </c>
      <c r="K174" s="75" cm="1">
        <f t="array" ref="K174">IF(Kredyt1[[#This Row],[Miesiąc kredytu]]="","",-PMT(Kredyt1[[#This Row],[Oprocentowanie]]/12,IlośćRat,KwotaKredytu))</f>
        <v>1556.0489869453118</v>
      </c>
      <c r="L174" s="75">
        <v>0</v>
      </c>
      <c r="M174" s="76">
        <f>IFERROR(M173-J174-Kredyt1[[#This Row],[Nadpłata]],"")</f>
        <v>220404.7282439055</v>
      </c>
    </row>
    <row r="175" spans="4:13">
      <c r="D175" s="70" cm="1">
        <f t="array" ref="D175">IF(ROW(170:170)&lt;=IlośćRat,ROW(170:170),"")</f>
        <v>170</v>
      </c>
      <c r="E175" s="70">
        <f>IFERROR(ROUNDUP(Kredyt1[[#This Row],[Miesiąc kredytu]]/12,0),"")</f>
        <v>15</v>
      </c>
      <c r="F175" s="71">
        <f t="shared" si="2"/>
        <v>49249</v>
      </c>
      <c r="G175" s="72" cm="1">
        <f t="array" ref="G175">IF(Kredyt1[[#This Row],[Data]]="","",WIBOR3M)</f>
        <v>0.02</v>
      </c>
      <c r="H175" s="72" cm="1">
        <f t="array" ref="H175">IF(Kredyt1[[#This Row],[Data]]="","",G175+MarżaBAnku)</f>
        <v>0.04</v>
      </c>
      <c r="I175" s="73">
        <f>IF(Kredyt1[[#This Row],[Data]]="","",Kredyt1[[#This Row],[Cała rata]]-Kredyt1[[#This Row],[Kapitał]])</f>
        <v>734.68242747968532</v>
      </c>
      <c r="J175" s="74" cm="1">
        <f t="array" ref="J175">IFERROR(-PPMT(Kredyt1[[#This Row],[Oprocentowanie]]/12,Kredyt1[[#This Row],[Miesiąc kredytu]],IlośćRat,KwotaKredytu),"")</f>
        <v>821.36655946562644</v>
      </c>
      <c r="K175" s="75" cm="1">
        <f t="array" ref="K175">IF(Kredyt1[[#This Row],[Miesiąc kredytu]]="","",-PMT(Kredyt1[[#This Row],[Oprocentowanie]]/12,IlośćRat,KwotaKredytu))</f>
        <v>1556.0489869453118</v>
      </c>
      <c r="L175" s="75">
        <v>0</v>
      </c>
      <c r="M175" s="76">
        <f>IFERROR(M174-J175-Kredyt1[[#This Row],[Nadpłata]],"")</f>
        <v>219583.36168443988</v>
      </c>
    </row>
    <row r="176" spans="4:13">
      <c r="D176" s="70" cm="1">
        <f t="array" ref="D176">IF(ROW(171:171)&lt;=IlośćRat,ROW(171:171),"")</f>
        <v>171</v>
      </c>
      <c r="E176" s="70">
        <f>IFERROR(ROUNDUP(Kredyt1[[#This Row],[Miesiąc kredytu]]/12,0),"")</f>
        <v>15</v>
      </c>
      <c r="F176" s="71">
        <f t="shared" si="2"/>
        <v>49279</v>
      </c>
      <c r="G176" s="72" cm="1">
        <f t="array" ref="G176">IF(Kredyt1[[#This Row],[Data]]="","",WIBOR3M)</f>
        <v>0.02</v>
      </c>
      <c r="H176" s="72" cm="1">
        <f t="array" ref="H176">IF(Kredyt1[[#This Row],[Data]]="","",G176+MarżaBAnku)</f>
        <v>0.04</v>
      </c>
      <c r="I176" s="73">
        <f>IF(Kredyt1[[#This Row],[Data]]="","",Kredyt1[[#This Row],[Cała rata]]-Kredyt1[[#This Row],[Kapitał]])</f>
        <v>731.94453894813307</v>
      </c>
      <c r="J176" s="74" cm="1">
        <f t="array" ref="J176">IFERROR(-PPMT(Kredyt1[[#This Row],[Oprocentowanie]]/12,Kredyt1[[#This Row],[Miesiąc kredytu]],IlośćRat,KwotaKredytu),"")</f>
        <v>824.10444799717868</v>
      </c>
      <c r="K176" s="75" cm="1">
        <f t="array" ref="K176">IF(Kredyt1[[#This Row],[Miesiąc kredytu]]="","",-PMT(Kredyt1[[#This Row],[Oprocentowanie]]/12,IlośćRat,KwotaKredytu))</f>
        <v>1556.0489869453118</v>
      </c>
      <c r="L176" s="75">
        <v>0</v>
      </c>
      <c r="M176" s="76">
        <f>IFERROR(M175-J176-Kredyt1[[#This Row],[Nadpłata]],"")</f>
        <v>218759.2572364427</v>
      </c>
    </row>
    <row r="177" spans="4:13">
      <c r="D177" s="70" cm="1">
        <f t="array" ref="D177">IF(ROW(172:172)&lt;=IlośćRat,ROW(172:172),"")</f>
        <v>172</v>
      </c>
      <c r="E177" s="70">
        <f>IFERROR(ROUNDUP(Kredyt1[[#This Row],[Miesiąc kredytu]]/12,0),"")</f>
        <v>15</v>
      </c>
      <c r="F177" s="71">
        <f t="shared" si="2"/>
        <v>49310</v>
      </c>
      <c r="G177" s="72" cm="1">
        <f t="array" ref="G177">IF(Kredyt1[[#This Row],[Data]]="","",WIBOR3M)</f>
        <v>0.02</v>
      </c>
      <c r="H177" s="72" cm="1">
        <f t="array" ref="H177">IF(Kredyt1[[#This Row],[Data]]="","",G177+MarżaBAnku)</f>
        <v>0.04</v>
      </c>
      <c r="I177" s="73">
        <f>IF(Kredyt1[[#This Row],[Data]]="","",Kredyt1[[#This Row],[Cała rata]]-Kredyt1[[#This Row],[Kapitał]])</f>
        <v>729.19752412147579</v>
      </c>
      <c r="J177" s="74" cm="1">
        <f t="array" ref="J177">IFERROR(-PPMT(Kredyt1[[#This Row],[Oprocentowanie]]/12,Kredyt1[[#This Row],[Miesiąc kredytu]],IlośćRat,KwotaKredytu),"")</f>
        <v>826.85146282383596</v>
      </c>
      <c r="K177" s="75" cm="1">
        <f t="array" ref="K177">IF(Kredyt1[[#This Row],[Miesiąc kredytu]]="","",-PMT(Kredyt1[[#This Row],[Oprocentowanie]]/12,IlośćRat,KwotaKredytu))</f>
        <v>1556.0489869453118</v>
      </c>
      <c r="L177" s="75">
        <v>0</v>
      </c>
      <c r="M177" s="76">
        <f>IFERROR(M176-J177-Kredyt1[[#This Row],[Nadpłata]],"")</f>
        <v>217932.40577361887</v>
      </c>
    </row>
    <row r="178" spans="4:13">
      <c r="D178" s="70" cm="1">
        <f t="array" ref="D178">IF(ROW(173:173)&lt;=IlośćRat,ROW(173:173),"")</f>
        <v>173</v>
      </c>
      <c r="E178" s="70">
        <f>IFERROR(ROUNDUP(Kredyt1[[#This Row],[Miesiąc kredytu]]/12,0),"")</f>
        <v>15</v>
      </c>
      <c r="F178" s="71">
        <f t="shared" si="2"/>
        <v>49341</v>
      </c>
      <c r="G178" s="72" cm="1">
        <f t="array" ref="G178">IF(Kredyt1[[#This Row],[Data]]="","",WIBOR3M)</f>
        <v>0.02</v>
      </c>
      <c r="H178" s="72" cm="1">
        <f t="array" ref="H178">IF(Kredyt1[[#This Row],[Data]]="","",G178+MarżaBAnku)</f>
        <v>0.04</v>
      </c>
      <c r="I178" s="73">
        <f>IF(Kredyt1[[#This Row],[Data]]="","",Kredyt1[[#This Row],[Cała rata]]-Kredyt1[[#This Row],[Kapitał]])</f>
        <v>726.44135257872983</v>
      </c>
      <c r="J178" s="74" cm="1">
        <f t="array" ref="J178">IFERROR(-PPMT(Kredyt1[[#This Row],[Oprocentowanie]]/12,Kredyt1[[#This Row],[Miesiąc kredytu]],IlośćRat,KwotaKredytu),"")</f>
        <v>829.60763436658192</v>
      </c>
      <c r="K178" s="75" cm="1">
        <f t="array" ref="K178">IF(Kredyt1[[#This Row],[Miesiąc kredytu]]="","",-PMT(Kredyt1[[#This Row],[Oprocentowanie]]/12,IlośćRat,KwotaKredytu))</f>
        <v>1556.0489869453118</v>
      </c>
      <c r="L178" s="75">
        <v>0</v>
      </c>
      <c r="M178" s="76">
        <f>IFERROR(M177-J178-Kredyt1[[#This Row],[Nadpłata]],"")</f>
        <v>217102.79813925229</v>
      </c>
    </row>
    <row r="179" spans="4:13">
      <c r="D179" s="70" cm="1">
        <f t="array" ref="D179">IF(ROW(174:174)&lt;=IlośćRat,ROW(174:174),"")</f>
        <v>174</v>
      </c>
      <c r="E179" s="70">
        <f>IFERROR(ROUNDUP(Kredyt1[[#This Row],[Miesiąc kredytu]]/12,0),"")</f>
        <v>15</v>
      </c>
      <c r="F179" s="71">
        <f t="shared" si="2"/>
        <v>49369</v>
      </c>
      <c r="G179" s="72" cm="1">
        <f t="array" ref="G179">IF(Kredyt1[[#This Row],[Data]]="","",WIBOR3M)</f>
        <v>0.02</v>
      </c>
      <c r="H179" s="72" cm="1">
        <f t="array" ref="H179">IF(Kredyt1[[#This Row],[Data]]="","",G179+MarżaBAnku)</f>
        <v>0.04</v>
      </c>
      <c r="I179" s="73">
        <f>IF(Kredyt1[[#This Row],[Data]]="","",Kredyt1[[#This Row],[Cała rata]]-Kredyt1[[#This Row],[Kapitał]])</f>
        <v>723.67599379750777</v>
      </c>
      <c r="J179" s="74" cm="1">
        <f t="array" ref="J179">IFERROR(-PPMT(Kredyt1[[#This Row],[Oprocentowanie]]/12,Kredyt1[[#This Row],[Miesiąc kredytu]],IlośćRat,KwotaKredytu),"")</f>
        <v>832.37299314780398</v>
      </c>
      <c r="K179" s="75" cm="1">
        <f t="array" ref="K179">IF(Kredyt1[[#This Row],[Miesiąc kredytu]]="","",-PMT(Kredyt1[[#This Row],[Oprocentowanie]]/12,IlośćRat,KwotaKredytu))</f>
        <v>1556.0489869453118</v>
      </c>
      <c r="L179" s="75">
        <v>0</v>
      </c>
      <c r="M179" s="76">
        <f>IFERROR(M178-J179-Kredyt1[[#This Row],[Nadpłata]],"")</f>
        <v>216270.42514610448</v>
      </c>
    </row>
    <row r="180" spans="4:13">
      <c r="D180" s="70" cm="1">
        <f t="array" ref="D180">IF(ROW(175:175)&lt;=IlośćRat,ROW(175:175),"")</f>
        <v>175</v>
      </c>
      <c r="E180" s="70">
        <f>IFERROR(ROUNDUP(Kredyt1[[#This Row],[Miesiąc kredytu]]/12,0),"")</f>
        <v>15</v>
      </c>
      <c r="F180" s="71">
        <f t="shared" si="2"/>
        <v>49400</v>
      </c>
      <c r="G180" s="72" cm="1">
        <f t="array" ref="G180">IF(Kredyt1[[#This Row],[Data]]="","",WIBOR3M)</f>
        <v>0.02</v>
      </c>
      <c r="H180" s="72" cm="1">
        <f t="array" ref="H180">IF(Kredyt1[[#This Row],[Data]]="","",G180+MarżaBAnku)</f>
        <v>0.04</v>
      </c>
      <c r="I180" s="73">
        <f>IF(Kredyt1[[#This Row],[Data]]="","",Kredyt1[[#This Row],[Cała rata]]-Kredyt1[[#This Row],[Kapitał]])</f>
        <v>720.90141715368168</v>
      </c>
      <c r="J180" s="74" cm="1">
        <f t="array" ref="J180">IFERROR(-PPMT(Kredyt1[[#This Row],[Oprocentowanie]]/12,Kredyt1[[#This Row],[Miesiąc kredytu]],IlośćRat,KwotaKredytu),"")</f>
        <v>835.14756979163008</v>
      </c>
      <c r="K180" s="75" cm="1">
        <f t="array" ref="K180">IF(Kredyt1[[#This Row],[Miesiąc kredytu]]="","",-PMT(Kredyt1[[#This Row],[Oprocentowanie]]/12,IlośćRat,KwotaKredytu))</f>
        <v>1556.0489869453118</v>
      </c>
      <c r="L180" s="75">
        <v>0</v>
      </c>
      <c r="M180" s="76">
        <f>IFERROR(M179-J180-Kredyt1[[#This Row],[Nadpłata]],"")</f>
        <v>215435.27757631286</v>
      </c>
    </row>
    <row r="181" spans="4:13">
      <c r="D181" s="70" cm="1">
        <f t="array" ref="D181">IF(ROW(176:176)&lt;=IlośćRat,ROW(176:176),"")</f>
        <v>176</v>
      </c>
      <c r="E181" s="70">
        <f>IFERROR(ROUNDUP(Kredyt1[[#This Row],[Miesiąc kredytu]]/12,0),"")</f>
        <v>15</v>
      </c>
      <c r="F181" s="71">
        <f t="shared" si="2"/>
        <v>49430</v>
      </c>
      <c r="G181" s="72" cm="1">
        <f t="array" ref="G181">IF(Kredyt1[[#This Row],[Data]]="","",WIBOR3M)</f>
        <v>0.02</v>
      </c>
      <c r="H181" s="72" cm="1">
        <f t="array" ref="H181">IF(Kredyt1[[#This Row],[Data]]="","",G181+MarżaBAnku)</f>
        <v>0.04</v>
      </c>
      <c r="I181" s="73">
        <f>IF(Kredyt1[[#This Row],[Data]]="","",Kredyt1[[#This Row],[Cała rata]]-Kredyt1[[#This Row],[Kapitał]])</f>
        <v>718.11759192104284</v>
      </c>
      <c r="J181" s="74" cm="1">
        <f t="array" ref="J181">IFERROR(-PPMT(Kredyt1[[#This Row],[Oprocentowanie]]/12,Kredyt1[[#This Row],[Miesiąc kredytu]],IlośćRat,KwotaKredytu),"")</f>
        <v>837.93139502426891</v>
      </c>
      <c r="K181" s="75" cm="1">
        <f t="array" ref="K181">IF(Kredyt1[[#This Row],[Miesiąc kredytu]]="","",-PMT(Kredyt1[[#This Row],[Oprocentowanie]]/12,IlośćRat,KwotaKredytu))</f>
        <v>1556.0489869453118</v>
      </c>
      <c r="L181" s="75">
        <v>0</v>
      </c>
      <c r="M181" s="76">
        <f>IFERROR(M180-J181-Kredyt1[[#This Row],[Nadpłata]],"")</f>
        <v>214597.34618128859</v>
      </c>
    </row>
    <row r="182" spans="4:13">
      <c r="D182" s="70" cm="1">
        <f t="array" ref="D182">IF(ROW(177:177)&lt;=IlośćRat,ROW(177:177),"")</f>
        <v>177</v>
      </c>
      <c r="E182" s="70">
        <f>IFERROR(ROUNDUP(Kredyt1[[#This Row],[Miesiąc kredytu]]/12,0),"")</f>
        <v>15</v>
      </c>
      <c r="F182" s="71">
        <f t="shared" si="2"/>
        <v>49461</v>
      </c>
      <c r="G182" s="72" cm="1">
        <f t="array" ref="G182">IF(Kredyt1[[#This Row],[Data]]="","",WIBOR3M)</f>
        <v>0.02</v>
      </c>
      <c r="H182" s="72" cm="1">
        <f t="array" ref="H182">IF(Kredyt1[[#This Row],[Data]]="","",G182+MarżaBAnku)</f>
        <v>0.04</v>
      </c>
      <c r="I182" s="73">
        <f>IF(Kredyt1[[#This Row],[Data]]="","",Kredyt1[[#This Row],[Cała rata]]-Kredyt1[[#This Row],[Kapitał]])</f>
        <v>715.32448727096209</v>
      </c>
      <c r="J182" s="74" cm="1">
        <f t="array" ref="J182">IFERROR(-PPMT(Kredyt1[[#This Row],[Oprocentowanie]]/12,Kredyt1[[#This Row],[Miesiąc kredytu]],IlośćRat,KwotaKredytu),"")</f>
        <v>840.72449967434966</v>
      </c>
      <c r="K182" s="75" cm="1">
        <f t="array" ref="K182">IF(Kredyt1[[#This Row],[Miesiąc kredytu]]="","",-PMT(Kredyt1[[#This Row],[Oprocentowanie]]/12,IlośćRat,KwotaKredytu))</f>
        <v>1556.0489869453118</v>
      </c>
      <c r="L182" s="75">
        <v>0</v>
      </c>
      <c r="M182" s="76">
        <f>IFERROR(M181-J182-Kredyt1[[#This Row],[Nadpłata]],"")</f>
        <v>213756.62168161426</v>
      </c>
    </row>
    <row r="183" spans="4:13">
      <c r="D183" s="70" cm="1">
        <f t="array" ref="D183">IF(ROW(178:178)&lt;=IlośćRat,ROW(178:178),"")</f>
        <v>178</v>
      </c>
      <c r="E183" s="70">
        <f>IFERROR(ROUNDUP(Kredyt1[[#This Row],[Miesiąc kredytu]]/12,0),"")</f>
        <v>15</v>
      </c>
      <c r="F183" s="71">
        <f t="shared" si="2"/>
        <v>49491</v>
      </c>
      <c r="G183" s="72" cm="1">
        <f t="array" ref="G183">IF(Kredyt1[[#This Row],[Data]]="","",WIBOR3M)</f>
        <v>0.02</v>
      </c>
      <c r="H183" s="72" cm="1">
        <f t="array" ref="H183">IF(Kredyt1[[#This Row],[Data]]="","",G183+MarżaBAnku)</f>
        <v>0.04</v>
      </c>
      <c r="I183" s="73">
        <f>IF(Kredyt1[[#This Row],[Data]]="","",Kredyt1[[#This Row],[Cała rata]]-Kredyt1[[#This Row],[Kapitał]])</f>
        <v>712.52207227204758</v>
      </c>
      <c r="J183" s="74" cm="1">
        <f t="array" ref="J183">IFERROR(-PPMT(Kredyt1[[#This Row],[Oprocentowanie]]/12,Kredyt1[[#This Row],[Miesiąc kredytu]],IlośćRat,KwotaKredytu),"")</f>
        <v>843.52691467326417</v>
      </c>
      <c r="K183" s="75" cm="1">
        <f t="array" ref="K183">IF(Kredyt1[[#This Row],[Miesiąc kredytu]]="","",-PMT(Kredyt1[[#This Row],[Oprocentowanie]]/12,IlośćRat,KwotaKredytu))</f>
        <v>1556.0489869453118</v>
      </c>
      <c r="L183" s="75">
        <v>0</v>
      </c>
      <c r="M183" s="76">
        <f>IFERROR(M182-J183-Kredyt1[[#This Row],[Nadpłata]],"")</f>
        <v>212913.09476694098</v>
      </c>
    </row>
    <row r="184" spans="4:13">
      <c r="D184" s="70" cm="1">
        <f t="array" ref="D184">IF(ROW(179:179)&lt;=IlośćRat,ROW(179:179),"")</f>
        <v>179</v>
      </c>
      <c r="E184" s="70">
        <f>IFERROR(ROUNDUP(Kredyt1[[#This Row],[Miesiąc kredytu]]/12,0),"")</f>
        <v>15</v>
      </c>
      <c r="F184" s="71">
        <f t="shared" si="2"/>
        <v>49522</v>
      </c>
      <c r="G184" s="72" cm="1">
        <f t="array" ref="G184">IF(Kredyt1[[#This Row],[Data]]="","",WIBOR3M)</f>
        <v>0.02</v>
      </c>
      <c r="H184" s="72" cm="1">
        <f t="array" ref="H184">IF(Kredyt1[[#This Row],[Data]]="","",G184+MarżaBAnku)</f>
        <v>0.04</v>
      </c>
      <c r="I184" s="73">
        <f>IF(Kredyt1[[#This Row],[Data]]="","",Kredyt1[[#This Row],[Cała rata]]-Kredyt1[[#This Row],[Kapitał]])</f>
        <v>709.71031588980338</v>
      </c>
      <c r="J184" s="74" cm="1">
        <f t="array" ref="J184">IFERROR(-PPMT(Kredyt1[[#This Row],[Oprocentowanie]]/12,Kredyt1[[#This Row],[Miesiąc kredytu]],IlośćRat,KwotaKredytu),"")</f>
        <v>846.33867105550837</v>
      </c>
      <c r="K184" s="75" cm="1">
        <f t="array" ref="K184">IF(Kredyt1[[#This Row],[Miesiąc kredytu]]="","",-PMT(Kredyt1[[#This Row],[Oprocentowanie]]/12,IlośćRat,KwotaKredytu))</f>
        <v>1556.0489869453118</v>
      </c>
      <c r="L184" s="75">
        <v>0</v>
      </c>
      <c r="M184" s="76">
        <f>IFERROR(M183-J184-Kredyt1[[#This Row],[Nadpłata]],"")</f>
        <v>212066.75609588547</v>
      </c>
    </row>
    <row r="185" spans="4:13">
      <c r="D185" s="70" cm="1">
        <f t="array" ref="D185">IF(ROW(180:180)&lt;=IlośćRat,ROW(180:180),"")</f>
        <v>180</v>
      </c>
      <c r="E185" s="70">
        <f>IFERROR(ROUNDUP(Kredyt1[[#This Row],[Miesiąc kredytu]]/12,0),"")</f>
        <v>15</v>
      </c>
      <c r="F185" s="71">
        <f t="shared" si="2"/>
        <v>49553</v>
      </c>
      <c r="G185" s="72" cm="1">
        <f t="array" ref="G185">IF(Kredyt1[[#This Row],[Data]]="","",WIBOR3M)</f>
        <v>0.02</v>
      </c>
      <c r="H185" s="72" cm="1">
        <f t="array" ref="H185">IF(Kredyt1[[#This Row],[Data]]="","",G185+MarżaBAnku)</f>
        <v>0.04</v>
      </c>
      <c r="I185" s="73">
        <f>IF(Kredyt1[[#This Row],[Data]]="","",Kredyt1[[#This Row],[Cała rata]]-Kredyt1[[#This Row],[Kapitał]])</f>
        <v>706.88918698628493</v>
      </c>
      <c r="J185" s="74" cm="1">
        <f t="array" ref="J185">IFERROR(-PPMT(Kredyt1[[#This Row],[Oprocentowanie]]/12,Kredyt1[[#This Row],[Miesiąc kredytu]],IlośćRat,KwotaKredytu),"")</f>
        <v>849.15979995902683</v>
      </c>
      <c r="K185" s="75" cm="1">
        <f t="array" ref="K185">IF(Kredyt1[[#This Row],[Miesiąc kredytu]]="","",-PMT(Kredyt1[[#This Row],[Oprocentowanie]]/12,IlośćRat,KwotaKredytu))</f>
        <v>1556.0489869453118</v>
      </c>
      <c r="L185" s="75">
        <v>0</v>
      </c>
      <c r="M185" s="76">
        <f>IFERROR(M184-J185-Kredyt1[[#This Row],[Nadpłata]],"")</f>
        <v>211217.59629592646</v>
      </c>
    </row>
    <row r="186" spans="4:13">
      <c r="D186" s="70" cm="1">
        <f t="array" ref="D186">IF(ROW(181:181)&lt;=IlośćRat,ROW(181:181),"")</f>
        <v>181</v>
      </c>
      <c r="E186" s="70">
        <f>IFERROR(ROUNDUP(Kredyt1[[#This Row],[Miesiąc kredytu]]/12,0),"")</f>
        <v>16</v>
      </c>
      <c r="F186" s="71">
        <f t="shared" si="2"/>
        <v>49583</v>
      </c>
      <c r="G186" s="72" cm="1">
        <f t="array" ref="G186">IF(Kredyt1[[#This Row],[Data]]="","",WIBOR3M)</f>
        <v>0.02</v>
      </c>
      <c r="H186" s="72" cm="1">
        <f t="array" ref="H186">IF(Kredyt1[[#This Row],[Data]]="","",G186+MarżaBAnku)</f>
        <v>0.04</v>
      </c>
      <c r="I186" s="73">
        <f>IF(Kredyt1[[#This Row],[Data]]="","",Kredyt1[[#This Row],[Cała rata]]-Kredyt1[[#This Row],[Kapitał]])</f>
        <v>704.05865431975496</v>
      </c>
      <c r="J186" s="74" cm="1">
        <f t="array" ref="J186">IFERROR(-PPMT(Kredyt1[[#This Row],[Oprocentowanie]]/12,Kredyt1[[#This Row],[Miesiąc kredytu]],IlośćRat,KwotaKredytu),"")</f>
        <v>851.99033262555679</v>
      </c>
      <c r="K186" s="75" cm="1">
        <f t="array" ref="K186">IF(Kredyt1[[#This Row],[Miesiąc kredytu]]="","",-PMT(Kredyt1[[#This Row],[Oprocentowanie]]/12,IlośćRat,KwotaKredytu))</f>
        <v>1556.0489869453118</v>
      </c>
      <c r="L186" s="75">
        <v>0</v>
      </c>
      <c r="M186" s="76">
        <f>IFERROR(M185-J186-Kredyt1[[#This Row],[Nadpłata]],"")</f>
        <v>210365.60596330091</v>
      </c>
    </row>
    <row r="187" spans="4:13">
      <c r="D187" s="70" cm="1">
        <f t="array" ref="D187">IF(ROW(182:182)&lt;=IlośćRat,ROW(182:182),"")</f>
        <v>182</v>
      </c>
      <c r="E187" s="70">
        <f>IFERROR(ROUNDUP(Kredyt1[[#This Row],[Miesiąc kredytu]]/12,0),"")</f>
        <v>16</v>
      </c>
      <c r="F187" s="71">
        <f t="shared" si="2"/>
        <v>49614</v>
      </c>
      <c r="G187" s="72" cm="1">
        <f t="array" ref="G187">IF(Kredyt1[[#This Row],[Data]]="","",WIBOR3M)</f>
        <v>0.02</v>
      </c>
      <c r="H187" s="72" cm="1">
        <f t="array" ref="H187">IF(Kredyt1[[#This Row],[Data]]="","",G187+MarżaBAnku)</f>
        <v>0.04</v>
      </c>
      <c r="I187" s="73">
        <f>IF(Kredyt1[[#This Row],[Data]]="","",Kredyt1[[#This Row],[Cała rata]]-Kredyt1[[#This Row],[Kapitał]])</f>
        <v>701.21868654433626</v>
      </c>
      <c r="J187" s="74" cm="1">
        <f t="array" ref="J187">IFERROR(-PPMT(Kredyt1[[#This Row],[Oprocentowanie]]/12,Kredyt1[[#This Row],[Miesiąc kredytu]],IlośćRat,KwotaKredytu),"")</f>
        <v>854.83030040097549</v>
      </c>
      <c r="K187" s="75" cm="1">
        <f t="array" ref="K187">IF(Kredyt1[[#This Row],[Miesiąc kredytu]]="","",-PMT(Kredyt1[[#This Row],[Oprocentowanie]]/12,IlośćRat,KwotaKredytu))</f>
        <v>1556.0489869453118</v>
      </c>
      <c r="L187" s="75">
        <v>0</v>
      </c>
      <c r="M187" s="76">
        <f>IFERROR(M186-J187-Kredyt1[[#This Row],[Nadpłata]],"")</f>
        <v>209510.77566289995</v>
      </c>
    </row>
    <row r="188" spans="4:13">
      <c r="D188" s="70" cm="1">
        <f t="array" ref="D188">IF(ROW(183:183)&lt;=IlośćRat,ROW(183:183),"")</f>
        <v>183</v>
      </c>
      <c r="E188" s="70">
        <f>IFERROR(ROUNDUP(Kredyt1[[#This Row],[Miesiąc kredytu]]/12,0),"")</f>
        <v>16</v>
      </c>
      <c r="F188" s="71">
        <f t="shared" si="2"/>
        <v>49644</v>
      </c>
      <c r="G188" s="72" cm="1">
        <f t="array" ref="G188">IF(Kredyt1[[#This Row],[Data]]="","",WIBOR3M)</f>
        <v>0.02</v>
      </c>
      <c r="H188" s="72" cm="1">
        <f t="array" ref="H188">IF(Kredyt1[[#This Row],[Data]]="","",G188+MarżaBAnku)</f>
        <v>0.04</v>
      </c>
      <c r="I188" s="73">
        <f>IF(Kredyt1[[#This Row],[Data]]="","",Kredyt1[[#This Row],[Cała rata]]-Kredyt1[[#This Row],[Kapitał]])</f>
        <v>698.36925220966646</v>
      </c>
      <c r="J188" s="74" cm="1">
        <f t="array" ref="J188">IFERROR(-PPMT(Kredyt1[[#This Row],[Oprocentowanie]]/12,Kredyt1[[#This Row],[Miesiąc kredytu]],IlośćRat,KwotaKredytu),"")</f>
        <v>857.6797347356453</v>
      </c>
      <c r="K188" s="75" cm="1">
        <f t="array" ref="K188">IF(Kredyt1[[#This Row],[Miesiąc kredytu]]="","",-PMT(Kredyt1[[#This Row],[Oprocentowanie]]/12,IlośćRat,KwotaKredytu))</f>
        <v>1556.0489869453118</v>
      </c>
      <c r="L188" s="75">
        <v>0</v>
      </c>
      <c r="M188" s="76">
        <f>IFERROR(M187-J188-Kredyt1[[#This Row],[Nadpłata]],"")</f>
        <v>208653.09592816432</v>
      </c>
    </row>
    <row r="189" spans="4:13">
      <c r="D189" s="70" cm="1">
        <f t="array" ref="D189">IF(ROW(184:184)&lt;=IlośćRat,ROW(184:184),"")</f>
        <v>184</v>
      </c>
      <c r="E189" s="70">
        <f>IFERROR(ROUNDUP(Kredyt1[[#This Row],[Miesiąc kredytu]]/12,0),"")</f>
        <v>16</v>
      </c>
      <c r="F189" s="71">
        <f t="shared" si="2"/>
        <v>49675</v>
      </c>
      <c r="G189" s="72" cm="1">
        <f t="array" ref="G189">IF(Kredyt1[[#This Row],[Data]]="","",WIBOR3M)</f>
        <v>0.02</v>
      </c>
      <c r="H189" s="72" cm="1">
        <f t="array" ref="H189">IF(Kredyt1[[#This Row],[Data]]="","",G189+MarżaBAnku)</f>
        <v>0.04</v>
      </c>
      <c r="I189" s="73">
        <f>IF(Kredyt1[[#This Row],[Data]]="","",Kredyt1[[#This Row],[Cała rata]]-Kredyt1[[#This Row],[Kapitał]])</f>
        <v>695.51031976054776</v>
      </c>
      <c r="J189" s="74" cm="1">
        <f t="array" ref="J189">IFERROR(-PPMT(Kredyt1[[#This Row],[Oprocentowanie]]/12,Kredyt1[[#This Row],[Miesiąc kredytu]],IlośćRat,KwotaKredytu),"")</f>
        <v>860.53866718476399</v>
      </c>
      <c r="K189" s="75" cm="1">
        <f t="array" ref="K189">IF(Kredyt1[[#This Row],[Miesiąc kredytu]]="","",-PMT(Kredyt1[[#This Row],[Oprocentowanie]]/12,IlośćRat,KwotaKredytu))</f>
        <v>1556.0489869453118</v>
      </c>
      <c r="L189" s="75">
        <v>0</v>
      </c>
      <c r="M189" s="76">
        <f>IFERROR(M188-J189-Kredyt1[[#This Row],[Nadpłata]],"")</f>
        <v>207792.55726097955</v>
      </c>
    </row>
    <row r="190" spans="4:13">
      <c r="D190" s="70" cm="1">
        <f t="array" ref="D190">IF(ROW(185:185)&lt;=IlośćRat,ROW(185:185),"")</f>
        <v>185</v>
      </c>
      <c r="E190" s="70">
        <f>IFERROR(ROUNDUP(Kredyt1[[#This Row],[Miesiąc kredytu]]/12,0),"")</f>
        <v>16</v>
      </c>
      <c r="F190" s="71">
        <f t="shared" si="2"/>
        <v>49706</v>
      </c>
      <c r="G190" s="72" cm="1">
        <f t="array" ref="G190">IF(Kredyt1[[#This Row],[Data]]="","",WIBOR3M)</f>
        <v>0.02</v>
      </c>
      <c r="H190" s="72" cm="1">
        <f t="array" ref="H190">IF(Kredyt1[[#This Row],[Data]]="","",G190+MarżaBAnku)</f>
        <v>0.04</v>
      </c>
      <c r="I190" s="73">
        <f>IF(Kredyt1[[#This Row],[Data]]="","",Kredyt1[[#This Row],[Cała rata]]-Kredyt1[[#This Row],[Kapitał]])</f>
        <v>692.64185753659854</v>
      </c>
      <c r="J190" s="74" cm="1">
        <f t="array" ref="J190">IFERROR(-PPMT(Kredyt1[[#This Row],[Oprocentowanie]]/12,Kredyt1[[#This Row],[Miesiąc kredytu]],IlośćRat,KwotaKredytu),"")</f>
        <v>863.40712940871322</v>
      </c>
      <c r="K190" s="75" cm="1">
        <f t="array" ref="K190">IF(Kredyt1[[#This Row],[Miesiąc kredytu]]="","",-PMT(Kredyt1[[#This Row],[Oprocentowanie]]/12,IlośćRat,KwotaKredytu))</f>
        <v>1556.0489869453118</v>
      </c>
      <c r="L190" s="75">
        <v>0</v>
      </c>
      <c r="M190" s="76">
        <f>IFERROR(M189-J190-Kredyt1[[#This Row],[Nadpłata]],"")</f>
        <v>206929.15013157084</v>
      </c>
    </row>
    <row r="191" spans="4:13">
      <c r="D191" s="70" cm="1">
        <f t="array" ref="D191">IF(ROW(186:186)&lt;=IlośćRat,ROW(186:186),"")</f>
        <v>186</v>
      </c>
      <c r="E191" s="70">
        <f>IFERROR(ROUNDUP(Kredyt1[[#This Row],[Miesiąc kredytu]]/12,0),"")</f>
        <v>16</v>
      </c>
      <c r="F191" s="71">
        <f t="shared" si="2"/>
        <v>49735</v>
      </c>
      <c r="G191" s="72" cm="1">
        <f t="array" ref="G191">IF(Kredyt1[[#This Row],[Data]]="","",WIBOR3M)</f>
        <v>0.02</v>
      </c>
      <c r="H191" s="72" cm="1">
        <f t="array" ref="H191">IF(Kredyt1[[#This Row],[Data]]="","",G191+MarżaBAnku)</f>
        <v>0.04</v>
      </c>
      <c r="I191" s="73">
        <f>IF(Kredyt1[[#This Row],[Data]]="","",Kredyt1[[#This Row],[Cała rata]]-Kredyt1[[#This Row],[Kapitał]])</f>
        <v>689.7638337719028</v>
      </c>
      <c r="J191" s="74" cm="1">
        <f t="array" ref="J191">IFERROR(-PPMT(Kredyt1[[#This Row],[Oprocentowanie]]/12,Kredyt1[[#This Row],[Miesiąc kredytu]],IlośćRat,KwotaKredytu),"")</f>
        <v>866.28515317340896</v>
      </c>
      <c r="K191" s="75" cm="1">
        <f t="array" ref="K191">IF(Kredyt1[[#This Row],[Miesiąc kredytu]]="","",-PMT(Kredyt1[[#This Row],[Oprocentowanie]]/12,IlośćRat,KwotaKredytu))</f>
        <v>1556.0489869453118</v>
      </c>
      <c r="L191" s="75">
        <v>0</v>
      </c>
      <c r="M191" s="76">
        <f>IFERROR(M190-J191-Kredyt1[[#This Row],[Nadpłata]],"")</f>
        <v>206062.86497839744</v>
      </c>
    </row>
    <row r="192" spans="4:13">
      <c r="D192" s="70" cm="1">
        <f t="array" ref="D192">IF(ROW(187:187)&lt;=IlośćRat,ROW(187:187),"")</f>
        <v>187</v>
      </c>
      <c r="E192" s="70">
        <f>IFERROR(ROUNDUP(Kredyt1[[#This Row],[Miesiąc kredytu]]/12,0),"")</f>
        <v>16</v>
      </c>
      <c r="F192" s="71">
        <f t="shared" si="2"/>
        <v>49766</v>
      </c>
      <c r="G192" s="72" cm="1">
        <f t="array" ref="G192">IF(Kredyt1[[#This Row],[Data]]="","",WIBOR3M)</f>
        <v>0.02</v>
      </c>
      <c r="H192" s="72" cm="1">
        <f t="array" ref="H192">IF(Kredyt1[[#This Row],[Data]]="","",G192+MarżaBAnku)</f>
        <v>0.04</v>
      </c>
      <c r="I192" s="73">
        <f>IF(Kredyt1[[#This Row],[Data]]="","",Kredyt1[[#This Row],[Cała rata]]-Kredyt1[[#This Row],[Kapitał]])</f>
        <v>686.87621659465799</v>
      </c>
      <c r="J192" s="74" cm="1">
        <f t="array" ref="J192">IFERROR(-PPMT(Kredyt1[[#This Row],[Oprocentowanie]]/12,Kredyt1[[#This Row],[Miesiąc kredytu]],IlośćRat,KwotaKredytu),"")</f>
        <v>869.17277035065376</v>
      </c>
      <c r="K192" s="75" cm="1">
        <f t="array" ref="K192">IF(Kredyt1[[#This Row],[Miesiąc kredytu]]="","",-PMT(Kredyt1[[#This Row],[Oprocentowanie]]/12,IlośćRat,KwotaKredytu))</f>
        <v>1556.0489869453118</v>
      </c>
      <c r="L192" s="75">
        <v>0</v>
      </c>
      <c r="M192" s="76">
        <f>IFERROR(M191-J192-Kredyt1[[#This Row],[Nadpłata]],"")</f>
        <v>205193.69220804679</v>
      </c>
    </row>
    <row r="193" spans="4:13">
      <c r="D193" s="70" cm="1">
        <f t="array" ref="D193">IF(ROW(188:188)&lt;=IlośćRat,ROW(188:188),"")</f>
        <v>188</v>
      </c>
      <c r="E193" s="70">
        <f>IFERROR(ROUNDUP(Kredyt1[[#This Row],[Miesiąc kredytu]]/12,0),"")</f>
        <v>16</v>
      </c>
      <c r="F193" s="71">
        <f t="shared" si="2"/>
        <v>49796</v>
      </c>
      <c r="G193" s="72" cm="1">
        <f t="array" ref="G193">IF(Kredyt1[[#This Row],[Data]]="","",WIBOR3M)</f>
        <v>0.02</v>
      </c>
      <c r="H193" s="72" cm="1">
        <f t="array" ref="H193">IF(Kredyt1[[#This Row],[Data]]="","",G193+MarżaBAnku)</f>
        <v>0.04</v>
      </c>
      <c r="I193" s="73">
        <f>IF(Kredyt1[[#This Row],[Data]]="","",Kredyt1[[#This Row],[Cała rata]]-Kredyt1[[#This Row],[Kapitał]])</f>
        <v>683.97897402682236</v>
      </c>
      <c r="J193" s="74" cm="1">
        <f t="array" ref="J193">IFERROR(-PPMT(Kredyt1[[#This Row],[Oprocentowanie]]/12,Kredyt1[[#This Row],[Miesiąc kredytu]],IlośćRat,KwotaKredytu),"")</f>
        <v>872.0700129184894</v>
      </c>
      <c r="K193" s="75" cm="1">
        <f t="array" ref="K193">IF(Kredyt1[[#This Row],[Miesiąc kredytu]]="","",-PMT(Kredyt1[[#This Row],[Oprocentowanie]]/12,IlośćRat,KwotaKredytu))</f>
        <v>1556.0489869453118</v>
      </c>
      <c r="L193" s="75">
        <v>0</v>
      </c>
      <c r="M193" s="76">
        <f>IFERROR(M192-J193-Kredyt1[[#This Row],[Nadpłata]],"")</f>
        <v>204321.62219512829</v>
      </c>
    </row>
    <row r="194" spans="4:13">
      <c r="D194" s="70" cm="1">
        <f t="array" ref="D194">IF(ROW(189:189)&lt;=IlośćRat,ROW(189:189),"")</f>
        <v>189</v>
      </c>
      <c r="E194" s="70">
        <f>IFERROR(ROUNDUP(Kredyt1[[#This Row],[Miesiąc kredytu]]/12,0),"")</f>
        <v>16</v>
      </c>
      <c r="F194" s="71">
        <f t="shared" si="2"/>
        <v>49827</v>
      </c>
      <c r="G194" s="72" cm="1">
        <f t="array" ref="G194">IF(Kredyt1[[#This Row],[Data]]="","",WIBOR3M)</f>
        <v>0.02</v>
      </c>
      <c r="H194" s="72" cm="1">
        <f t="array" ref="H194">IF(Kredyt1[[#This Row],[Data]]="","",G194+MarżaBAnku)</f>
        <v>0.04</v>
      </c>
      <c r="I194" s="73">
        <f>IF(Kredyt1[[#This Row],[Data]]="","",Kredyt1[[#This Row],[Cała rata]]-Kredyt1[[#This Row],[Kapitał]])</f>
        <v>681.0720739837609</v>
      </c>
      <c r="J194" s="74" cm="1">
        <f t="array" ref="J194">IFERROR(-PPMT(Kredyt1[[#This Row],[Oprocentowanie]]/12,Kredyt1[[#This Row],[Miesiąc kredytu]],IlośćRat,KwotaKredytu),"")</f>
        <v>874.97691296155085</v>
      </c>
      <c r="K194" s="75" cm="1">
        <f t="array" ref="K194">IF(Kredyt1[[#This Row],[Miesiąc kredytu]]="","",-PMT(Kredyt1[[#This Row],[Oprocentowanie]]/12,IlośćRat,KwotaKredytu))</f>
        <v>1556.0489869453118</v>
      </c>
      <c r="L194" s="75">
        <v>0</v>
      </c>
      <c r="M194" s="76">
        <f>IFERROR(M193-J194-Kredyt1[[#This Row],[Nadpłata]],"")</f>
        <v>203446.64528216675</v>
      </c>
    </row>
    <row r="195" spans="4:13">
      <c r="D195" s="70" cm="1">
        <f t="array" ref="D195">IF(ROW(190:190)&lt;=IlośćRat,ROW(190:190),"")</f>
        <v>190</v>
      </c>
      <c r="E195" s="70">
        <f>IFERROR(ROUNDUP(Kredyt1[[#This Row],[Miesiąc kredytu]]/12,0),"")</f>
        <v>16</v>
      </c>
      <c r="F195" s="71">
        <f t="shared" si="2"/>
        <v>49857</v>
      </c>
      <c r="G195" s="72" cm="1">
        <f t="array" ref="G195">IF(Kredyt1[[#This Row],[Data]]="","",WIBOR3M)</f>
        <v>0.02</v>
      </c>
      <c r="H195" s="72" cm="1">
        <f t="array" ref="H195">IF(Kredyt1[[#This Row],[Data]]="","",G195+MarżaBAnku)</f>
        <v>0.04</v>
      </c>
      <c r="I195" s="73">
        <f>IF(Kredyt1[[#This Row],[Data]]="","",Kredyt1[[#This Row],[Cała rata]]-Kredyt1[[#This Row],[Kapitał]])</f>
        <v>678.15548427388921</v>
      </c>
      <c r="J195" s="74" cm="1">
        <f t="array" ref="J195">IFERROR(-PPMT(Kredyt1[[#This Row],[Oprocentowanie]]/12,Kredyt1[[#This Row],[Miesiąc kredytu]],IlośćRat,KwotaKredytu),"")</f>
        <v>877.89350267142254</v>
      </c>
      <c r="K195" s="75" cm="1">
        <f t="array" ref="K195">IF(Kredyt1[[#This Row],[Miesiąc kredytu]]="","",-PMT(Kredyt1[[#This Row],[Oprocentowanie]]/12,IlośćRat,KwotaKredytu))</f>
        <v>1556.0489869453118</v>
      </c>
      <c r="L195" s="75">
        <v>0</v>
      </c>
      <c r="M195" s="76">
        <f>IFERROR(M194-J195-Kredyt1[[#This Row],[Nadpłata]],"")</f>
        <v>202568.75177949533</v>
      </c>
    </row>
    <row r="196" spans="4:13">
      <c r="D196" s="70" cm="1">
        <f t="array" ref="D196">IF(ROW(191:191)&lt;=IlośćRat,ROW(191:191),"")</f>
        <v>191</v>
      </c>
      <c r="E196" s="70">
        <f>IFERROR(ROUNDUP(Kredyt1[[#This Row],[Miesiąc kredytu]]/12,0),"")</f>
        <v>16</v>
      </c>
      <c r="F196" s="71">
        <f t="shared" si="2"/>
        <v>49888</v>
      </c>
      <c r="G196" s="72" cm="1">
        <f t="array" ref="G196">IF(Kredyt1[[#This Row],[Data]]="","",WIBOR3M)</f>
        <v>0.02</v>
      </c>
      <c r="H196" s="72" cm="1">
        <f t="array" ref="H196">IF(Kredyt1[[#This Row],[Data]]="","",G196+MarżaBAnku)</f>
        <v>0.04</v>
      </c>
      <c r="I196" s="73">
        <f>IF(Kredyt1[[#This Row],[Data]]="","",Kredyt1[[#This Row],[Cała rata]]-Kredyt1[[#This Row],[Kapitał]])</f>
        <v>675.22917259831775</v>
      </c>
      <c r="J196" s="74" cm="1">
        <f t="array" ref="J196">IFERROR(-PPMT(Kredyt1[[#This Row],[Oprocentowanie]]/12,Kredyt1[[#This Row],[Miesiąc kredytu]],IlośćRat,KwotaKredytu),"")</f>
        <v>880.81981434699401</v>
      </c>
      <c r="K196" s="75" cm="1">
        <f t="array" ref="K196">IF(Kredyt1[[#This Row],[Miesiąc kredytu]]="","",-PMT(Kredyt1[[#This Row],[Oprocentowanie]]/12,IlośćRat,KwotaKredytu))</f>
        <v>1556.0489869453118</v>
      </c>
      <c r="L196" s="75">
        <v>0</v>
      </c>
      <c r="M196" s="76">
        <f>IFERROR(M195-J196-Kredyt1[[#This Row],[Nadpłata]],"")</f>
        <v>201687.93196514834</v>
      </c>
    </row>
    <row r="197" spans="4:13">
      <c r="D197" s="70" cm="1">
        <f t="array" ref="D197">IF(ROW(192:192)&lt;=IlośćRat,ROW(192:192),"")</f>
        <v>192</v>
      </c>
      <c r="E197" s="70">
        <f>IFERROR(ROUNDUP(Kredyt1[[#This Row],[Miesiąc kredytu]]/12,0),"")</f>
        <v>16</v>
      </c>
      <c r="F197" s="71">
        <f t="shared" si="2"/>
        <v>49919</v>
      </c>
      <c r="G197" s="72" cm="1">
        <f t="array" ref="G197">IF(Kredyt1[[#This Row],[Data]]="","",WIBOR3M)</f>
        <v>0.02</v>
      </c>
      <c r="H197" s="72" cm="1">
        <f t="array" ref="H197">IF(Kredyt1[[#This Row],[Data]]="","",G197+MarżaBAnku)</f>
        <v>0.04</v>
      </c>
      <c r="I197" s="73">
        <f>IF(Kredyt1[[#This Row],[Data]]="","",Kredyt1[[#This Row],[Cała rata]]-Kredyt1[[#This Row],[Kapitał]])</f>
        <v>672.29310655049426</v>
      </c>
      <c r="J197" s="74" cm="1">
        <f t="array" ref="J197">IFERROR(-PPMT(Kredyt1[[#This Row],[Oprocentowanie]]/12,Kredyt1[[#This Row],[Miesiąc kredytu]],IlośćRat,KwotaKredytu),"")</f>
        <v>883.7558803948175</v>
      </c>
      <c r="K197" s="75" cm="1">
        <f t="array" ref="K197">IF(Kredyt1[[#This Row],[Miesiąc kredytu]]="","",-PMT(Kredyt1[[#This Row],[Oprocentowanie]]/12,IlośćRat,KwotaKredytu))</f>
        <v>1556.0489869453118</v>
      </c>
      <c r="L197" s="75">
        <v>0</v>
      </c>
      <c r="M197" s="76">
        <f>IFERROR(M196-J197-Kredyt1[[#This Row],[Nadpłata]],"")</f>
        <v>200804.17608475353</v>
      </c>
    </row>
    <row r="198" spans="4:13">
      <c r="D198" s="70" cm="1">
        <f t="array" ref="D198">IF(ROW(193:193)&lt;=IlośćRat,ROW(193:193),"")</f>
        <v>193</v>
      </c>
      <c r="E198" s="70">
        <f>IFERROR(ROUNDUP(Kredyt1[[#This Row],[Miesiąc kredytu]]/12,0),"")</f>
        <v>17</v>
      </c>
      <c r="F198" s="71">
        <f t="shared" ref="F198:F261" si="3">IFERROR(EDATE($B$6,D198-1),"")</f>
        <v>49949</v>
      </c>
      <c r="G198" s="72" cm="1">
        <f t="array" ref="G198">IF(Kredyt1[[#This Row],[Data]]="","",WIBOR3M)</f>
        <v>0.02</v>
      </c>
      <c r="H198" s="72" cm="1">
        <f t="array" ref="H198">IF(Kredyt1[[#This Row],[Data]]="","",G198+MarżaBAnku)</f>
        <v>0.04</v>
      </c>
      <c r="I198" s="73">
        <f>IF(Kredyt1[[#This Row],[Data]]="","",Kredyt1[[#This Row],[Cała rata]]-Kredyt1[[#This Row],[Kapitał]])</f>
        <v>669.34725361584481</v>
      </c>
      <c r="J198" s="74" cm="1">
        <f t="array" ref="J198">IFERROR(-PPMT(Kredyt1[[#This Row],[Oprocentowanie]]/12,Kredyt1[[#This Row],[Miesiąc kredytu]],IlośćRat,KwotaKredytu),"")</f>
        <v>886.70173332946695</v>
      </c>
      <c r="K198" s="75" cm="1">
        <f t="array" ref="K198">IF(Kredyt1[[#This Row],[Miesiąc kredytu]]="","",-PMT(Kredyt1[[#This Row],[Oprocentowanie]]/12,IlośćRat,KwotaKredytu))</f>
        <v>1556.0489869453118</v>
      </c>
      <c r="L198" s="75">
        <v>0</v>
      </c>
      <c r="M198" s="76">
        <f>IFERROR(M197-J198-Kredyt1[[#This Row],[Nadpłata]],"")</f>
        <v>199917.47435142405</v>
      </c>
    </row>
    <row r="199" spans="4:13">
      <c r="D199" s="70" cm="1">
        <f t="array" ref="D199">IF(ROW(194:194)&lt;=IlośćRat,ROW(194:194),"")</f>
        <v>194</v>
      </c>
      <c r="E199" s="70">
        <f>IFERROR(ROUNDUP(Kredyt1[[#This Row],[Miesiąc kredytu]]/12,0),"")</f>
        <v>17</v>
      </c>
      <c r="F199" s="71">
        <f t="shared" si="3"/>
        <v>49980</v>
      </c>
      <c r="G199" s="72" cm="1">
        <f t="array" ref="G199">IF(Kredyt1[[#This Row],[Data]]="","",WIBOR3M)</f>
        <v>0.02</v>
      </c>
      <c r="H199" s="72" cm="1">
        <f t="array" ref="H199">IF(Kredyt1[[#This Row],[Data]]="","",G199+MarżaBAnku)</f>
        <v>0.04</v>
      </c>
      <c r="I199" s="73">
        <f>IF(Kredyt1[[#This Row],[Data]]="","",Kredyt1[[#This Row],[Cała rata]]-Kredyt1[[#This Row],[Kapitał]])</f>
        <v>666.39158117141335</v>
      </c>
      <c r="J199" s="74" cm="1">
        <f t="array" ref="J199">IFERROR(-PPMT(Kredyt1[[#This Row],[Oprocentowanie]]/12,Kredyt1[[#This Row],[Miesiąc kredytu]],IlośćRat,KwotaKredytu),"")</f>
        <v>889.6574057738984</v>
      </c>
      <c r="K199" s="75" cm="1">
        <f t="array" ref="K199">IF(Kredyt1[[#This Row],[Miesiąc kredytu]]="","",-PMT(Kredyt1[[#This Row],[Oprocentowanie]]/12,IlośćRat,KwotaKredytu))</f>
        <v>1556.0489869453118</v>
      </c>
      <c r="L199" s="75">
        <v>0</v>
      </c>
      <c r="M199" s="76">
        <f>IFERROR(M198-J199-Kredyt1[[#This Row],[Nadpłata]],"")</f>
        <v>199027.81694565015</v>
      </c>
    </row>
    <row r="200" spans="4:13">
      <c r="D200" s="70" cm="1">
        <f t="array" ref="D200">IF(ROW(195:195)&lt;=IlośćRat,ROW(195:195),"")</f>
        <v>195</v>
      </c>
      <c r="E200" s="70">
        <f>IFERROR(ROUNDUP(Kredyt1[[#This Row],[Miesiąc kredytu]]/12,0),"")</f>
        <v>17</v>
      </c>
      <c r="F200" s="71">
        <f t="shared" si="3"/>
        <v>50010</v>
      </c>
      <c r="G200" s="72" cm="1">
        <f t="array" ref="G200">IF(Kredyt1[[#This Row],[Data]]="","",WIBOR3M)</f>
        <v>0.02</v>
      </c>
      <c r="H200" s="72" cm="1">
        <f t="array" ref="H200">IF(Kredyt1[[#This Row],[Data]]="","",G200+MarżaBAnku)</f>
        <v>0.04</v>
      </c>
      <c r="I200" s="73">
        <f>IF(Kredyt1[[#This Row],[Data]]="","",Kredyt1[[#This Row],[Cała rata]]-Kredyt1[[#This Row],[Kapitał]])</f>
        <v>663.42605648550023</v>
      </c>
      <c r="J200" s="74" cm="1">
        <f t="array" ref="J200">IFERROR(-PPMT(Kredyt1[[#This Row],[Oprocentowanie]]/12,Kredyt1[[#This Row],[Miesiąc kredytu]],IlośćRat,KwotaKredytu),"")</f>
        <v>892.62293045981153</v>
      </c>
      <c r="K200" s="75" cm="1">
        <f t="array" ref="K200">IF(Kredyt1[[#This Row],[Miesiąc kredytu]]="","",-PMT(Kredyt1[[#This Row],[Oprocentowanie]]/12,IlośćRat,KwotaKredytu))</f>
        <v>1556.0489869453118</v>
      </c>
      <c r="L200" s="75">
        <v>0</v>
      </c>
      <c r="M200" s="76">
        <f>IFERROR(M199-J200-Kredyt1[[#This Row],[Nadpłata]],"")</f>
        <v>198135.19401519033</v>
      </c>
    </row>
    <row r="201" spans="4:13">
      <c r="D201" s="70" cm="1">
        <f t="array" ref="D201">IF(ROW(196:196)&lt;=IlośćRat,ROW(196:196),"")</f>
        <v>196</v>
      </c>
      <c r="E201" s="70">
        <f>IFERROR(ROUNDUP(Kredyt1[[#This Row],[Miesiąc kredytu]]/12,0),"")</f>
        <v>17</v>
      </c>
      <c r="F201" s="71">
        <f t="shared" si="3"/>
        <v>50041</v>
      </c>
      <c r="G201" s="72" cm="1">
        <f t="array" ref="G201">IF(Kredyt1[[#This Row],[Data]]="","",WIBOR3M)</f>
        <v>0.02</v>
      </c>
      <c r="H201" s="72" cm="1">
        <f t="array" ref="H201">IF(Kredyt1[[#This Row],[Data]]="","",G201+MarżaBAnku)</f>
        <v>0.04</v>
      </c>
      <c r="I201" s="73">
        <f>IF(Kredyt1[[#This Row],[Data]]="","",Kredyt1[[#This Row],[Cała rata]]-Kredyt1[[#This Row],[Kapitał]])</f>
        <v>660.45064671730108</v>
      </c>
      <c r="J201" s="74" cm="1">
        <f t="array" ref="J201">IFERROR(-PPMT(Kredyt1[[#This Row],[Oprocentowanie]]/12,Kredyt1[[#This Row],[Miesiąc kredytu]],IlośćRat,KwotaKredytu),"")</f>
        <v>895.59834022801067</v>
      </c>
      <c r="K201" s="75" cm="1">
        <f t="array" ref="K201">IF(Kredyt1[[#This Row],[Miesiąc kredytu]]="","",-PMT(Kredyt1[[#This Row],[Oprocentowanie]]/12,IlośćRat,KwotaKredytu))</f>
        <v>1556.0489869453118</v>
      </c>
      <c r="L201" s="75">
        <v>0</v>
      </c>
      <c r="M201" s="76">
        <f>IFERROR(M200-J201-Kredyt1[[#This Row],[Nadpłata]],"")</f>
        <v>197239.59567496233</v>
      </c>
    </row>
    <row r="202" spans="4:13">
      <c r="D202" s="70" cm="1">
        <f t="array" ref="D202">IF(ROW(197:197)&lt;=IlośćRat,ROW(197:197),"")</f>
        <v>197</v>
      </c>
      <c r="E202" s="70">
        <f>IFERROR(ROUNDUP(Kredyt1[[#This Row],[Miesiąc kredytu]]/12,0),"")</f>
        <v>17</v>
      </c>
      <c r="F202" s="71">
        <f t="shared" si="3"/>
        <v>50072</v>
      </c>
      <c r="G202" s="72" cm="1">
        <f t="array" ref="G202">IF(Kredyt1[[#This Row],[Data]]="","",WIBOR3M)</f>
        <v>0.02</v>
      </c>
      <c r="H202" s="72" cm="1">
        <f t="array" ref="H202">IF(Kredyt1[[#This Row],[Data]]="","",G202+MarżaBAnku)</f>
        <v>0.04</v>
      </c>
      <c r="I202" s="73">
        <f>IF(Kredyt1[[#This Row],[Data]]="","",Kredyt1[[#This Row],[Cała rata]]-Kredyt1[[#This Row],[Kapitał]])</f>
        <v>657.46531891654104</v>
      </c>
      <c r="J202" s="74" cm="1">
        <f t="array" ref="J202">IFERROR(-PPMT(Kredyt1[[#This Row],[Oprocentowanie]]/12,Kredyt1[[#This Row],[Miesiąc kredytu]],IlośćRat,KwotaKredytu),"")</f>
        <v>898.58366802877072</v>
      </c>
      <c r="K202" s="75" cm="1">
        <f t="array" ref="K202">IF(Kredyt1[[#This Row],[Miesiąc kredytu]]="","",-PMT(Kredyt1[[#This Row],[Oprocentowanie]]/12,IlośćRat,KwotaKredytu))</f>
        <v>1556.0489869453118</v>
      </c>
      <c r="L202" s="75">
        <v>0</v>
      </c>
      <c r="M202" s="76">
        <f>IFERROR(M201-J202-Kredyt1[[#This Row],[Nadpłata]],"")</f>
        <v>196341.01200693357</v>
      </c>
    </row>
    <row r="203" spans="4:13">
      <c r="D203" s="70" cm="1">
        <f t="array" ref="D203">IF(ROW(198:198)&lt;=IlośćRat,ROW(198:198),"")</f>
        <v>198</v>
      </c>
      <c r="E203" s="70">
        <f>IFERROR(ROUNDUP(Kredyt1[[#This Row],[Miesiąc kredytu]]/12,0),"")</f>
        <v>17</v>
      </c>
      <c r="F203" s="71">
        <f t="shared" si="3"/>
        <v>50100</v>
      </c>
      <c r="G203" s="72" cm="1">
        <f t="array" ref="G203">IF(Kredyt1[[#This Row],[Data]]="","",WIBOR3M)</f>
        <v>0.02</v>
      </c>
      <c r="H203" s="72" cm="1">
        <f t="array" ref="H203">IF(Kredyt1[[#This Row],[Data]]="","",G203+MarżaBAnku)</f>
        <v>0.04</v>
      </c>
      <c r="I203" s="73">
        <f>IF(Kredyt1[[#This Row],[Data]]="","",Kredyt1[[#This Row],[Cała rata]]-Kredyt1[[#This Row],[Kapitał]])</f>
        <v>654.47004002311178</v>
      </c>
      <c r="J203" s="74" cm="1">
        <f t="array" ref="J203">IFERROR(-PPMT(Kredyt1[[#This Row],[Oprocentowanie]]/12,Kredyt1[[#This Row],[Miesiąc kredytu]],IlośćRat,KwotaKredytu),"")</f>
        <v>901.57894692219998</v>
      </c>
      <c r="K203" s="75" cm="1">
        <f t="array" ref="K203">IF(Kredyt1[[#This Row],[Miesiąc kredytu]]="","",-PMT(Kredyt1[[#This Row],[Oprocentowanie]]/12,IlośćRat,KwotaKredytu))</f>
        <v>1556.0489869453118</v>
      </c>
      <c r="L203" s="75">
        <v>0</v>
      </c>
      <c r="M203" s="76">
        <f>IFERROR(M202-J203-Kredyt1[[#This Row],[Nadpłata]],"")</f>
        <v>195439.43306001136</v>
      </c>
    </row>
    <row r="204" spans="4:13">
      <c r="D204" s="70" cm="1">
        <f t="array" ref="D204">IF(ROW(199:199)&lt;=IlośćRat,ROW(199:199),"")</f>
        <v>199</v>
      </c>
      <c r="E204" s="70">
        <f>IFERROR(ROUNDUP(Kredyt1[[#This Row],[Miesiąc kredytu]]/12,0),"")</f>
        <v>17</v>
      </c>
      <c r="F204" s="71">
        <f t="shared" si="3"/>
        <v>50131</v>
      </c>
      <c r="G204" s="72" cm="1">
        <f t="array" ref="G204">IF(Kredyt1[[#This Row],[Data]]="","",WIBOR3M)</f>
        <v>0.02</v>
      </c>
      <c r="H204" s="72" cm="1">
        <f t="array" ref="H204">IF(Kredyt1[[#This Row],[Data]]="","",G204+MarżaBAnku)</f>
        <v>0.04</v>
      </c>
      <c r="I204" s="73">
        <f>IF(Kredyt1[[#This Row],[Data]]="","",Kredyt1[[#This Row],[Cała rata]]-Kredyt1[[#This Row],[Kapitał]])</f>
        <v>651.46477686670448</v>
      </c>
      <c r="J204" s="74" cm="1">
        <f t="array" ref="J204">IFERROR(-PPMT(Kredyt1[[#This Row],[Oprocentowanie]]/12,Kredyt1[[#This Row],[Miesiąc kredytu]],IlośćRat,KwotaKredytu),"")</f>
        <v>904.58421007860727</v>
      </c>
      <c r="K204" s="75" cm="1">
        <f t="array" ref="K204">IF(Kredyt1[[#This Row],[Miesiąc kredytu]]="","",-PMT(Kredyt1[[#This Row],[Oprocentowanie]]/12,IlośćRat,KwotaKredytu))</f>
        <v>1556.0489869453118</v>
      </c>
      <c r="L204" s="75">
        <v>0</v>
      </c>
      <c r="M204" s="76">
        <f>IFERROR(M203-J204-Kredyt1[[#This Row],[Nadpłata]],"")</f>
        <v>194534.84884993275</v>
      </c>
    </row>
    <row r="205" spans="4:13">
      <c r="D205" s="70" cm="1">
        <f t="array" ref="D205">IF(ROW(200:200)&lt;=IlośćRat,ROW(200:200),"")</f>
        <v>200</v>
      </c>
      <c r="E205" s="70">
        <f>IFERROR(ROUNDUP(Kredyt1[[#This Row],[Miesiąc kredytu]]/12,0),"")</f>
        <v>17</v>
      </c>
      <c r="F205" s="71">
        <f t="shared" si="3"/>
        <v>50161</v>
      </c>
      <c r="G205" s="72" cm="1">
        <f t="array" ref="G205">IF(Kredyt1[[#This Row],[Data]]="","",WIBOR3M)</f>
        <v>0.02</v>
      </c>
      <c r="H205" s="72" cm="1">
        <f t="array" ref="H205">IF(Kredyt1[[#This Row],[Data]]="","",G205+MarżaBAnku)</f>
        <v>0.04</v>
      </c>
      <c r="I205" s="73">
        <f>IF(Kredyt1[[#This Row],[Data]]="","",Kredyt1[[#This Row],[Cała rata]]-Kredyt1[[#This Row],[Kapitał]])</f>
        <v>648.44949616644249</v>
      </c>
      <c r="J205" s="74" cm="1">
        <f t="array" ref="J205">IFERROR(-PPMT(Kredyt1[[#This Row],[Oprocentowanie]]/12,Kredyt1[[#This Row],[Miesiąc kredytu]],IlośćRat,KwotaKredytu),"")</f>
        <v>907.59949077886927</v>
      </c>
      <c r="K205" s="75" cm="1">
        <f t="array" ref="K205">IF(Kredyt1[[#This Row],[Miesiąc kredytu]]="","",-PMT(Kredyt1[[#This Row],[Oprocentowanie]]/12,IlośćRat,KwotaKredytu))</f>
        <v>1556.0489869453118</v>
      </c>
      <c r="L205" s="75">
        <v>0</v>
      </c>
      <c r="M205" s="76">
        <f>IFERROR(M204-J205-Kredyt1[[#This Row],[Nadpłata]],"")</f>
        <v>193627.24935915388</v>
      </c>
    </row>
    <row r="206" spans="4:13">
      <c r="D206" s="70" cm="1">
        <f t="array" ref="D206">IF(ROW(201:201)&lt;=IlośćRat,ROW(201:201),"")</f>
        <v>201</v>
      </c>
      <c r="E206" s="70">
        <f>IFERROR(ROUNDUP(Kredyt1[[#This Row],[Miesiąc kredytu]]/12,0),"")</f>
        <v>17</v>
      </c>
      <c r="F206" s="71">
        <f t="shared" si="3"/>
        <v>50192</v>
      </c>
      <c r="G206" s="72" cm="1">
        <f t="array" ref="G206">IF(Kredyt1[[#This Row],[Data]]="","",WIBOR3M)</f>
        <v>0.02</v>
      </c>
      <c r="H206" s="72" cm="1">
        <f t="array" ref="H206">IF(Kredyt1[[#This Row],[Data]]="","",G206+MarżaBAnku)</f>
        <v>0.04</v>
      </c>
      <c r="I206" s="73">
        <f>IF(Kredyt1[[#This Row],[Data]]="","",Kredyt1[[#This Row],[Cała rata]]-Kredyt1[[#This Row],[Kapitał]])</f>
        <v>645.42416453051271</v>
      </c>
      <c r="J206" s="74" cm="1">
        <f t="array" ref="J206">IFERROR(-PPMT(Kredyt1[[#This Row],[Oprocentowanie]]/12,Kredyt1[[#This Row],[Miesiąc kredytu]],IlośćRat,KwotaKredytu),"")</f>
        <v>910.62482241479904</v>
      </c>
      <c r="K206" s="75" cm="1">
        <f t="array" ref="K206">IF(Kredyt1[[#This Row],[Miesiąc kredytu]]="","",-PMT(Kredyt1[[#This Row],[Oprocentowanie]]/12,IlośćRat,KwotaKredytu))</f>
        <v>1556.0489869453118</v>
      </c>
      <c r="L206" s="75">
        <v>0</v>
      </c>
      <c r="M206" s="76">
        <f>IFERROR(M205-J206-Kredyt1[[#This Row],[Nadpłata]],"")</f>
        <v>192716.62453673908</v>
      </c>
    </row>
    <row r="207" spans="4:13">
      <c r="D207" s="70" cm="1">
        <f t="array" ref="D207">IF(ROW(202:202)&lt;=IlośćRat,ROW(202:202),"")</f>
        <v>202</v>
      </c>
      <c r="E207" s="70">
        <f>IFERROR(ROUNDUP(Kredyt1[[#This Row],[Miesiąc kredytu]]/12,0),"")</f>
        <v>17</v>
      </c>
      <c r="F207" s="71">
        <f t="shared" si="3"/>
        <v>50222</v>
      </c>
      <c r="G207" s="72" cm="1">
        <f t="array" ref="G207">IF(Kredyt1[[#This Row],[Data]]="","",WIBOR3M)</f>
        <v>0.02</v>
      </c>
      <c r="H207" s="72" cm="1">
        <f t="array" ref="H207">IF(Kredyt1[[#This Row],[Data]]="","",G207+MarżaBAnku)</f>
        <v>0.04</v>
      </c>
      <c r="I207" s="73">
        <f>IF(Kredyt1[[#This Row],[Data]]="","",Kredyt1[[#This Row],[Cała rata]]-Kredyt1[[#This Row],[Kapitał]])</f>
        <v>642.38874845579687</v>
      </c>
      <c r="J207" s="74" cm="1">
        <f t="array" ref="J207">IFERROR(-PPMT(Kredyt1[[#This Row],[Oprocentowanie]]/12,Kredyt1[[#This Row],[Miesiąc kredytu]],IlośćRat,KwotaKredytu),"")</f>
        <v>913.66023848951488</v>
      </c>
      <c r="K207" s="75" cm="1">
        <f t="array" ref="K207">IF(Kredyt1[[#This Row],[Miesiąc kredytu]]="","",-PMT(Kredyt1[[#This Row],[Oprocentowanie]]/12,IlośćRat,KwotaKredytu))</f>
        <v>1556.0489869453118</v>
      </c>
      <c r="L207" s="75">
        <v>0</v>
      </c>
      <c r="M207" s="76">
        <f>IFERROR(M206-J207-Kredyt1[[#This Row],[Nadpłata]],"")</f>
        <v>191802.96429824957</v>
      </c>
    </row>
    <row r="208" spans="4:13">
      <c r="D208" s="70" cm="1">
        <f t="array" ref="D208">IF(ROW(203:203)&lt;=IlośćRat,ROW(203:203),"")</f>
        <v>203</v>
      </c>
      <c r="E208" s="70">
        <f>IFERROR(ROUNDUP(Kredyt1[[#This Row],[Miesiąc kredytu]]/12,0),"")</f>
        <v>17</v>
      </c>
      <c r="F208" s="71">
        <f t="shared" si="3"/>
        <v>50253</v>
      </c>
      <c r="G208" s="72" cm="1">
        <f t="array" ref="G208">IF(Kredyt1[[#This Row],[Data]]="","",WIBOR3M)</f>
        <v>0.02</v>
      </c>
      <c r="H208" s="72" cm="1">
        <f t="array" ref="H208">IF(Kredyt1[[#This Row],[Data]]="","",G208+MarżaBAnku)</f>
        <v>0.04</v>
      </c>
      <c r="I208" s="73">
        <f>IF(Kredyt1[[#This Row],[Data]]="","",Kredyt1[[#This Row],[Cała rata]]-Kredyt1[[#This Row],[Kapitał]])</f>
        <v>639.34321432749834</v>
      </c>
      <c r="J208" s="74" cm="1">
        <f t="array" ref="J208">IFERROR(-PPMT(Kredyt1[[#This Row],[Oprocentowanie]]/12,Kredyt1[[#This Row],[Miesiąc kredytu]],IlośćRat,KwotaKredytu),"")</f>
        <v>916.70577261781341</v>
      </c>
      <c r="K208" s="75" cm="1">
        <f t="array" ref="K208">IF(Kredyt1[[#This Row],[Miesiąc kredytu]]="","",-PMT(Kredyt1[[#This Row],[Oprocentowanie]]/12,IlośćRat,KwotaKredytu))</f>
        <v>1556.0489869453118</v>
      </c>
      <c r="L208" s="75">
        <v>0</v>
      </c>
      <c r="M208" s="76">
        <f>IFERROR(M207-J208-Kredyt1[[#This Row],[Nadpłata]],"")</f>
        <v>190886.25852563177</v>
      </c>
    </row>
    <row r="209" spans="4:13">
      <c r="D209" s="70" cm="1">
        <f t="array" ref="D209">IF(ROW(204:204)&lt;=IlośćRat,ROW(204:204),"")</f>
        <v>204</v>
      </c>
      <c r="E209" s="70">
        <f>IFERROR(ROUNDUP(Kredyt1[[#This Row],[Miesiąc kredytu]]/12,0),"")</f>
        <v>17</v>
      </c>
      <c r="F209" s="71">
        <f t="shared" si="3"/>
        <v>50284</v>
      </c>
      <c r="G209" s="72" cm="1">
        <f t="array" ref="G209">IF(Kredyt1[[#This Row],[Data]]="","",WIBOR3M)</f>
        <v>0.02</v>
      </c>
      <c r="H209" s="72" cm="1">
        <f t="array" ref="H209">IF(Kredyt1[[#This Row],[Data]]="","",G209+MarżaBAnku)</f>
        <v>0.04</v>
      </c>
      <c r="I209" s="73">
        <f>IF(Kredyt1[[#This Row],[Data]]="","",Kredyt1[[#This Row],[Cała rata]]-Kredyt1[[#This Row],[Kapitał]])</f>
        <v>636.28752841877235</v>
      </c>
      <c r="J209" s="74" cm="1">
        <f t="array" ref="J209">IFERROR(-PPMT(Kredyt1[[#This Row],[Oprocentowanie]]/12,Kredyt1[[#This Row],[Miesiąc kredytu]],IlośćRat,KwotaKredytu),"")</f>
        <v>919.7614585265394</v>
      </c>
      <c r="K209" s="75" cm="1">
        <f t="array" ref="K209">IF(Kredyt1[[#This Row],[Miesiąc kredytu]]="","",-PMT(Kredyt1[[#This Row],[Oprocentowanie]]/12,IlośćRat,KwotaKredytu))</f>
        <v>1556.0489869453118</v>
      </c>
      <c r="L209" s="75">
        <v>0</v>
      </c>
      <c r="M209" s="76">
        <f>IFERROR(M208-J209-Kredyt1[[#This Row],[Nadpłata]],"")</f>
        <v>189966.49706710523</v>
      </c>
    </row>
    <row r="210" spans="4:13">
      <c r="D210" s="70" cm="1">
        <f t="array" ref="D210">IF(ROW(205:205)&lt;=IlośćRat,ROW(205:205),"")</f>
        <v>205</v>
      </c>
      <c r="E210" s="70">
        <f>IFERROR(ROUNDUP(Kredyt1[[#This Row],[Miesiąc kredytu]]/12,0),"")</f>
        <v>18</v>
      </c>
      <c r="F210" s="71">
        <f t="shared" si="3"/>
        <v>50314</v>
      </c>
      <c r="G210" s="72" cm="1">
        <f t="array" ref="G210">IF(Kredyt1[[#This Row],[Data]]="","",WIBOR3M)</f>
        <v>0.02</v>
      </c>
      <c r="H210" s="72" cm="1">
        <f t="array" ref="H210">IF(Kredyt1[[#This Row],[Data]]="","",G210+MarżaBAnku)</f>
        <v>0.04</v>
      </c>
      <c r="I210" s="73">
        <f>IF(Kredyt1[[#This Row],[Data]]="","",Kredyt1[[#This Row],[Cała rata]]-Kredyt1[[#This Row],[Kapitał]])</f>
        <v>633.22165689035057</v>
      </c>
      <c r="J210" s="74" cm="1">
        <f t="array" ref="J210">IFERROR(-PPMT(Kredyt1[[#This Row],[Oprocentowanie]]/12,Kredyt1[[#This Row],[Miesiąc kredytu]],IlośćRat,KwotaKredytu),"")</f>
        <v>922.82733005496118</v>
      </c>
      <c r="K210" s="75" cm="1">
        <f t="array" ref="K210">IF(Kredyt1[[#This Row],[Miesiąc kredytu]]="","",-PMT(Kredyt1[[#This Row],[Oprocentowanie]]/12,IlośćRat,KwotaKredytu))</f>
        <v>1556.0489869453118</v>
      </c>
      <c r="L210" s="75">
        <v>0</v>
      </c>
      <c r="M210" s="76">
        <f>IFERROR(M209-J210-Kredyt1[[#This Row],[Nadpłata]],"")</f>
        <v>189043.66973705028</v>
      </c>
    </row>
    <row r="211" spans="4:13">
      <c r="D211" s="70" cm="1">
        <f t="array" ref="D211">IF(ROW(206:206)&lt;=IlośćRat,ROW(206:206),"")</f>
        <v>206</v>
      </c>
      <c r="E211" s="70">
        <f>IFERROR(ROUNDUP(Kredyt1[[#This Row],[Miesiąc kredytu]]/12,0),"")</f>
        <v>18</v>
      </c>
      <c r="F211" s="71">
        <f t="shared" si="3"/>
        <v>50345</v>
      </c>
      <c r="G211" s="72" cm="1">
        <f t="array" ref="G211">IF(Kredyt1[[#This Row],[Data]]="","",WIBOR3M)</f>
        <v>0.02</v>
      </c>
      <c r="H211" s="72" cm="1">
        <f t="array" ref="H211">IF(Kredyt1[[#This Row],[Data]]="","",G211+MarżaBAnku)</f>
        <v>0.04</v>
      </c>
      <c r="I211" s="73">
        <f>IF(Kredyt1[[#This Row],[Data]]="","",Kredyt1[[#This Row],[Cała rata]]-Kredyt1[[#This Row],[Kapitał]])</f>
        <v>630.14556579016744</v>
      </c>
      <c r="J211" s="74" cm="1">
        <f t="array" ref="J211">IFERROR(-PPMT(Kredyt1[[#This Row],[Oprocentowanie]]/12,Kredyt1[[#This Row],[Miesiąc kredytu]],IlośćRat,KwotaKredytu),"")</f>
        <v>925.90342115514431</v>
      </c>
      <c r="K211" s="75" cm="1">
        <f t="array" ref="K211">IF(Kredyt1[[#This Row],[Miesiąc kredytu]]="","",-PMT(Kredyt1[[#This Row],[Oprocentowanie]]/12,IlośćRat,KwotaKredytu))</f>
        <v>1556.0489869453118</v>
      </c>
      <c r="L211" s="75">
        <v>0</v>
      </c>
      <c r="M211" s="76">
        <f>IFERROR(M210-J211-Kredyt1[[#This Row],[Nadpłata]],"")</f>
        <v>188117.76631589513</v>
      </c>
    </row>
    <row r="212" spans="4:13">
      <c r="D212" s="70" cm="1">
        <f t="array" ref="D212">IF(ROW(207:207)&lt;=IlośćRat,ROW(207:207),"")</f>
        <v>207</v>
      </c>
      <c r="E212" s="70">
        <f>IFERROR(ROUNDUP(Kredyt1[[#This Row],[Miesiąc kredytu]]/12,0),"")</f>
        <v>18</v>
      </c>
      <c r="F212" s="71">
        <f t="shared" si="3"/>
        <v>50375</v>
      </c>
      <c r="G212" s="72" cm="1">
        <f t="array" ref="G212">IF(Kredyt1[[#This Row],[Data]]="","",WIBOR3M)</f>
        <v>0.02</v>
      </c>
      <c r="H212" s="72" cm="1">
        <f t="array" ref="H212">IF(Kredyt1[[#This Row],[Data]]="","",G212+MarżaBAnku)</f>
        <v>0.04</v>
      </c>
      <c r="I212" s="73">
        <f>IF(Kredyt1[[#This Row],[Data]]="","",Kredyt1[[#This Row],[Cała rata]]-Kredyt1[[#This Row],[Kapitał]])</f>
        <v>627.0592210529835</v>
      </c>
      <c r="J212" s="74" cm="1">
        <f t="array" ref="J212">IFERROR(-PPMT(Kredyt1[[#This Row],[Oprocentowanie]]/12,Kredyt1[[#This Row],[Miesiąc kredytu]],IlośćRat,KwotaKredytu),"")</f>
        <v>928.98976589232825</v>
      </c>
      <c r="K212" s="75" cm="1">
        <f t="array" ref="K212">IF(Kredyt1[[#This Row],[Miesiąc kredytu]]="","",-PMT(Kredyt1[[#This Row],[Oprocentowanie]]/12,IlośćRat,KwotaKredytu))</f>
        <v>1556.0489869453118</v>
      </c>
      <c r="L212" s="75">
        <v>0</v>
      </c>
      <c r="M212" s="76">
        <f>IFERROR(M211-J212-Kredyt1[[#This Row],[Nadpłata]],"")</f>
        <v>187188.7765500028</v>
      </c>
    </row>
    <row r="213" spans="4:13">
      <c r="D213" s="70" cm="1">
        <f t="array" ref="D213">IF(ROW(208:208)&lt;=IlośćRat,ROW(208:208),"")</f>
        <v>208</v>
      </c>
      <c r="E213" s="70">
        <f>IFERROR(ROUNDUP(Kredyt1[[#This Row],[Miesiąc kredytu]]/12,0),"")</f>
        <v>18</v>
      </c>
      <c r="F213" s="71">
        <f t="shared" si="3"/>
        <v>50406</v>
      </c>
      <c r="G213" s="72" cm="1">
        <f t="array" ref="G213">IF(Kredyt1[[#This Row],[Data]]="","",WIBOR3M)</f>
        <v>0.02</v>
      </c>
      <c r="H213" s="72" cm="1">
        <f t="array" ref="H213">IF(Kredyt1[[#This Row],[Data]]="","",G213+MarżaBAnku)</f>
        <v>0.04</v>
      </c>
      <c r="I213" s="73">
        <f>IF(Kredyt1[[#This Row],[Data]]="","",Kredyt1[[#This Row],[Cała rata]]-Kredyt1[[#This Row],[Kapitał]])</f>
        <v>623.96258850000925</v>
      </c>
      <c r="J213" s="74" cm="1">
        <f t="array" ref="J213">IFERROR(-PPMT(Kredyt1[[#This Row],[Oprocentowanie]]/12,Kredyt1[[#This Row],[Miesiąc kredytu]],IlośćRat,KwotaKredytu),"")</f>
        <v>932.08639844530251</v>
      </c>
      <c r="K213" s="75" cm="1">
        <f t="array" ref="K213">IF(Kredyt1[[#This Row],[Miesiąc kredytu]]="","",-PMT(Kredyt1[[#This Row],[Oprocentowanie]]/12,IlośćRat,KwotaKredytu))</f>
        <v>1556.0489869453118</v>
      </c>
      <c r="L213" s="75">
        <v>0</v>
      </c>
      <c r="M213" s="76">
        <f>IFERROR(M212-J213-Kredyt1[[#This Row],[Nadpłata]],"")</f>
        <v>186256.6901515575</v>
      </c>
    </row>
    <row r="214" spans="4:13">
      <c r="D214" s="70" cm="1">
        <f t="array" ref="D214">IF(ROW(209:209)&lt;=IlośćRat,ROW(209:209),"")</f>
        <v>209</v>
      </c>
      <c r="E214" s="70">
        <f>IFERROR(ROUNDUP(Kredyt1[[#This Row],[Miesiąc kredytu]]/12,0),"")</f>
        <v>18</v>
      </c>
      <c r="F214" s="71">
        <f t="shared" si="3"/>
        <v>50437</v>
      </c>
      <c r="G214" s="72" cm="1">
        <f t="array" ref="G214">IF(Kredyt1[[#This Row],[Data]]="","",WIBOR3M)</f>
        <v>0.02</v>
      </c>
      <c r="H214" s="72" cm="1">
        <f t="array" ref="H214">IF(Kredyt1[[#This Row],[Data]]="","",G214+MarżaBAnku)</f>
        <v>0.04</v>
      </c>
      <c r="I214" s="73">
        <f>IF(Kredyt1[[#This Row],[Data]]="","",Kredyt1[[#This Row],[Cała rata]]-Kredyt1[[#This Row],[Kapitał]])</f>
        <v>620.85563383852468</v>
      </c>
      <c r="J214" s="74" cm="1">
        <f t="array" ref="J214">IFERROR(-PPMT(Kredyt1[[#This Row],[Oprocentowanie]]/12,Kredyt1[[#This Row],[Miesiąc kredytu]],IlośćRat,KwotaKredytu),"")</f>
        <v>935.19335310678707</v>
      </c>
      <c r="K214" s="75" cm="1">
        <f t="array" ref="K214">IF(Kredyt1[[#This Row],[Miesiąc kredytu]]="","",-PMT(Kredyt1[[#This Row],[Oprocentowanie]]/12,IlośćRat,KwotaKredytu))</f>
        <v>1556.0489869453118</v>
      </c>
      <c r="L214" s="75">
        <v>0</v>
      </c>
      <c r="M214" s="76">
        <f>IFERROR(M213-J214-Kredyt1[[#This Row],[Nadpłata]],"")</f>
        <v>185321.49679845071</v>
      </c>
    </row>
    <row r="215" spans="4:13">
      <c r="D215" s="70" cm="1">
        <f t="array" ref="D215">IF(ROW(210:210)&lt;=IlośćRat,ROW(210:210),"")</f>
        <v>210</v>
      </c>
      <c r="E215" s="70">
        <f>IFERROR(ROUNDUP(Kredyt1[[#This Row],[Miesiąc kredytu]]/12,0),"")</f>
        <v>18</v>
      </c>
      <c r="F215" s="71">
        <f t="shared" si="3"/>
        <v>50465</v>
      </c>
      <c r="G215" s="72" cm="1">
        <f t="array" ref="G215">IF(Kredyt1[[#This Row],[Data]]="","",WIBOR3M)</f>
        <v>0.02</v>
      </c>
      <c r="H215" s="72" cm="1">
        <f t="array" ref="H215">IF(Kredyt1[[#This Row],[Data]]="","",G215+MarżaBAnku)</f>
        <v>0.04</v>
      </c>
      <c r="I215" s="73">
        <f>IF(Kredyt1[[#This Row],[Data]]="","",Kredyt1[[#This Row],[Cała rata]]-Kredyt1[[#This Row],[Kapitał]])</f>
        <v>617.73832266150214</v>
      </c>
      <c r="J215" s="74" cm="1">
        <f t="array" ref="J215">IFERROR(-PPMT(Kredyt1[[#This Row],[Oprocentowanie]]/12,Kredyt1[[#This Row],[Miesiąc kredytu]],IlośćRat,KwotaKredytu),"")</f>
        <v>938.31066428380961</v>
      </c>
      <c r="K215" s="75" cm="1">
        <f t="array" ref="K215">IF(Kredyt1[[#This Row],[Miesiąc kredytu]]="","",-PMT(Kredyt1[[#This Row],[Oprocentowanie]]/12,IlośćRat,KwotaKredytu))</f>
        <v>1556.0489869453118</v>
      </c>
      <c r="L215" s="75">
        <v>0</v>
      </c>
      <c r="M215" s="76">
        <f>IFERROR(M214-J215-Kredyt1[[#This Row],[Nadpłata]],"")</f>
        <v>184383.1861341669</v>
      </c>
    </row>
    <row r="216" spans="4:13">
      <c r="D216" s="70" cm="1">
        <f t="array" ref="D216">IF(ROW(211:211)&lt;=IlośćRat,ROW(211:211),"")</f>
        <v>211</v>
      </c>
      <c r="E216" s="70">
        <f>IFERROR(ROUNDUP(Kredyt1[[#This Row],[Miesiąc kredytu]]/12,0),"")</f>
        <v>18</v>
      </c>
      <c r="F216" s="71">
        <f t="shared" si="3"/>
        <v>50496</v>
      </c>
      <c r="G216" s="72" cm="1">
        <f t="array" ref="G216">IF(Kredyt1[[#This Row],[Data]]="","",WIBOR3M)</f>
        <v>0.02</v>
      </c>
      <c r="H216" s="72" cm="1">
        <f t="array" ref="H216">IF(Kredyt1[[#This Row],[Data]]="","",G216+MarżaBAnku)</f>
        <v>0.04</v>
      </c>
      <c r="I216" s="73">
        <f>IF(Kredyt1[[#This Row],[Data]]="","",Kredyt1[[#This Row],[Cała rata]]-Kredyt1[[#This Row],[Kapitał]])</f>
        <v>614.61062044722269</v>
      </c>
      <c r="J216" s="74" cm="1">
        <f t="array" ref="J216">IFERROR(-PPMT(Kredyt1[[#This Row],[Oprocentowanie]]/12,Kredyt1[[#This Row],[Miesiąc kredytu]],IlośćRat,KwotaKredytu),"")</f>
        <v>941.43836649808907</v>
      </c>
      <c r="K216" s="75" cm="1">
        <f t="array" ref="K216">IF(Kredyt1[[#This Row],[Miesiąc kredytu]]="","",-PMT(Kredyt1[[#This Row],[Oprocentowanie]]/12,IlośćRat,KwotaKredytu))</f>
        <v>1556.0489869453118</v>
      </c>
      <c r="L216" s="75">
        <v>0</v>
      </c>
      <c r="M216" s="76">
        <f>IFERROR(M215-J216-Kredyt1[[#This Row],[Nadpłata]],"")</f>
        <v>183441.7477676688</v>
      </c>
    </row>
    <row r="217" spans="4:13">
      <c r="D217" s="70" cm="1">
        <f t="array" ref="D217">IF(ROW(212:212)&lt;=IlośćRat,ROW(212:212),"")</f>
        <v>212</v>
      </c>
      <c r="E217" s="70">
        <f>IFERROR(ROUNDUP(Kredyt1[[#This Row],[Miesiąc kredytu]]/12,0),"")</f>
        <v>18</v>
      </c>
      <c r="F217" s="71">
        <f t="shared" si="3"/>
        <v>50526</v>
      </c>
      <c r="G217" s="72" cm="1">
        <f t="array" ref="G217">IF(Kredyt1[[#This Row],[Data]]="","",WIBOR3M)</f>
        <v>0.02</v>
      </c>
      <c r="H217" s="72" cm="1">
        <f t="array" ref="H217">IF(Kredyt1[[#This Row],[Data]]="","",G217+MarżaBAnku)</f>
        <v>0.04</v>
      </c>
      <c r="I217" s="73">
        <f>IF(Kredyt1[[#This Row],[Data]]="","",Kredyt1[[#This Row],[Cała rata]]-Kredyt1[[#This Row],[Kapitał]])</f>
        <v>611.47249255889596</v>
      </c>
      <c r="J217" s="74" cm="1">
        <f t="array" ref="J217">IFERROR(-PPMT(Kredyt1[[#This Row],[Oprocentowanie]]/12,Kredyt1[[#This Row],[Miesiąc kredytu]],IlośćRat,KwotaKredytu),"")</f>
        <v>944.57649438641579</v>
      </c>
      <c r="K217" s="75" cm="1">
        <f t="array" ref="K217">IF(Kredyt1[[#This Row],[Miesiąc kredytu]]="","",-PMT(Kredyt1[[#This Row],[Oprocentowanie]]/12,IlośćRat,KwotaKredytu))</f>
        <v>1556.0489869453118</v>
      </c>
      <c r="L217" s="75">
        <v>0</v>
      </c>
      <c r="M217" s="76">
        <f>IFERROR(M216-J217-Kredyt1[[#This Row],[Nadpłata]],"")</f>
        <v>182497.17127328238</v>
      </c>
    </row>
    <row r="218" spans="4:13">
      <c r="D218" s="70" cm="1">
        <f t="array" ref="D218">IF(ROW(213:213)&lt;=IlośćRat,ROW(213:213),"")</f>
        <v>213</v>
      </c>
      <c r="E218" s="70">
        <f>IFERROR(ROUNDUP(Kredyt1[[#This Row],[Miesiąc kredytu]]/12,0),"")</f>
        <v>18</v>
      </c>
      <c r="F218" s="71">
        <f t="shared" si="3"/>
        <v>50557</v>
      </c>
      <c r="G218" s="72" cm="1">
        <f t="array" ref="G218">IF(Kredyt1[[#This Row],[Data]]="","",WIBOR3M)</f>
        <v>0.02</v>
      </c>
      <c r="H218" s="72" cm="1">
        <f t="array" ref="H218">IF(Kredyt1[[#This Row],[Data]]="","",G218+MarżaBAnku)</f>
        <v>0.04</v>
      </c>
      <c r="I218" s="73">
        <f>IF(Kredyt1[[#This Row],[Data]]="","",Kredyt1[[#This Row],[Cała rata]]-Kredyt1[[#This Row],[Kapitał]])</f>
        <v>608.32390424427456</v>
      </c>
      <c r="J218" s="74" cm="1">
        <f t="array" ref="J218">IFERROR(-PPMT(Kredyt1[[#This Row],[Oprocentowanie]]/12,Kredyt1[[#This Row],[Miesiąc kredytu]],IlośćRat,KwotaKredytu),"")</f>
        <v>947.72508270103719</v>
      </c>
      <c r="K218" s="75" cm="1">
        <f t="array" ref="K218">IF(Kredyt1[[#This Row],[Miesiąc kredytu]]="","",-PMT(Kredyt1[[#This Row],[Oprocentowanie]]/12,IlośćRat,KwotaKredytu))</f>
        <v>1556.0489869453118</v>
      </c>
      <c r="L218" s="75">
        <v>0</v>
      </c>
      <c r="M218" s="76">
        <f>IFERROR(M217-J218-Kredyt1[[#This Row],[Nadpłata]],"")</f>
        <v>181549.44619058134</v>
      </c>
    </row>
    <row r="219" spans="4:13">
      <c r="D219" s="70" cm="1">
        <f t="array" ref="D219">IF(ROW(214:214)&lt;=IlośćRat,ROW(214:214),"")</f>
        <v>214</v>
      </c>
      <c r="E219" s="70">
        <f>IFERROR(ROUNDUP(Kredyt1[[#This Row],[Miesiąc kredytu]]/12,0),"")</f>
        <v>18</v>
      </c>
      <c r="F219" s="71">
        <f t="shared" si="3"/>
        <v>50587</v>
      </c>
      <c r="G219" s="72" cm="1">
        <f t="array" ref="G219">IF(Kredyt1[[#This Row],[Data]]="","",WIBOR3M)</f>
        <v>0.02</v>
      </c>
      <c r="H219" s="72" cm="1">
        <f t="array" ref="H219">IF(Kredyt1[[#This Row],[Data]]="","",G219+MarżaBAnku)</f>
        <v>0.04</v>
      </c>
      <c r="I219" s="73">
        <f>IF(Kredyt1[[#This Row],[Data]]="","",Kredyt1[[#This Row],[Cała rata]]-Kredyt1[[#This Row],[Kapitał]])</f>
        <v>605.16482063527098</v>
      </c>
      <c r="J219" s="74" cm="1">
        <f t="array" ref="J219">IFERROR(-PPMT(Kredyt1[[#This Row],[Oprocentowanie]]/12,Kredyt1[[#This Row],[Miesiąc kredytu]],IlośćRat,KwotaKredytu),"")</f>
        <v>950.88416631004077</v>
      </c>
      <c r="K219" s="75" cm="1">
        <f t="array" ref="K219">IF(Kredyt1[[#This Row],[Miesiąc kredytu]]="","",-PMT(Kredyt1[[#This Row],[Oprocentowanie]]/12,IlośćRat,KwotaKredytu))</f>
        <v>1556.0489869453118</v>
      </c>
      <c r="L219" s="75">
        <v>0</v>
      </c>
      <c r="M219" s="76">
        <f>IFERROR(M218-J219-Kredyt1[[#This Row],[Nadpłata]],"")</f>
        <v>180598.56202427129</v>
      </c>
    </row>
    <row r="220" spans="4:13">
      <c r="D220" s="70" cm="1">
        <f t="array" ref="D220">IF(ROW(215:215)&lt;=IlośćRat,ROW(215:215),"")</f>
        <v>215</v>
      </c>
      <c r="E220" s="70">
        <f>IFERROR(ROUNDUP(Kredyt1[[#This Row],[Miesiąc kredytu]]/12,0),"")</f>
        <v>18</v>
      </c>
      <c r="F220" s="71">
        <f t="shared" si="3"/>
        <v>50618</v>
      </c>
      <c r="G220" s="72" cm="1">
        <f t="array" ref="G220">IF(Kredyt1[[#This Row],[Data]]="","",WIBOR3M)</f>
        <v>0.02</v>
      </c>
      <c r="H220" s="72" cm="1">
        <f t="array" ref="H220">IF(Kredyt1[[#This Row],[Data]]="","",G220+MarżaBAnku)</f>
        <v>0.04</v>
      </c>
      <c r="I220" s="73">
        <f>IF(Kredyt1[[#This Row],[Data]]="","",Kredyt1[[#This Row],[Cała rata]]-Kredyt1[[#This Row],[Kapitał]])</f>
        <v>601.99520674757093</v>
      </c>
      <c r="J220" s="74" cm="1">
        <f t="array" ref="J220">IFERROR(-PPMT(Kredyt1[[#This Row],[Oprocentowanie]]/12,Kredyt1[[#This Row],[Miesiąc kredytu]],IlośćRat,KwotaKredytu),"")</f>
        <v>954.05378019774082</v>
      </c>
      <c r="K220" s="75" cm="1">
        <f t="array" ref="K220">IF(Kredyt1[[#This Row],[Miesiąc kredytu]]="","",-PMT(Kredyt1[[#This Row],[Oprocentowanie]]/12,IlośćRat,KwotaKredytu))</f>
        <v>1556.0489869453118</v>
      </c>
      <c r="L220" s="75">
        <v>0</v>
      </c>
      <c r="M220" s="76">
        <f>IFERROR(M219-J220-Kredyt1[[#This Row],[Nadpłata]],"")</f>
        <v>179644.50824407354</v>
      </c>
    </row>
    <row r="221" spans="4:13">
      <c r="D221" s="70" cm="1">
        <f t="array" ref="D221">IF(ROW(216:216)&lt;=IlośćRat,ROW(216:216),"")</f>
        <v>216</v>
      </c>
      <c r="E221" s="70">
        <f>IFERROR(ROUNDUP(Kredyt1[[#This Row],[Miesiąc kredytu]]/12,0),"")</f>
        <v>18</v>
      </c>
      <c r="F221" s="71">
        <f t="shared" si="3"/>
        <v>50649</v>
      </c>
      <c r="G221" s="72" cm="1">
        <f t="array" ref="G221">IF(Kredyt1[[#This Row],[Data]]="","",WIBOR3M)</f>
        <v>0.02</v>
      </c>
      <c r="H221" s="72" cm="1">
        <f t="array" ref="H221">IF(Kredyt1[[#This Row],[Data]]="","",G221+MarżaBAnku)</f>
        <v>0.04</v>
      </c>
      <c r="I221" s="73">
        <f>IF(Kredyt1[[#This Row],[Data]]="","",Kredyt1[[#This Row],[Cała rata]]-Kredyt1[[#This Row],[Kapitał]])</f>
        <v>598.81502748024502</v>
      </c>
      <c r="J221" s="74" cm="1">
        <f t="array" ref="J221">IFERROR(-PPMT(Kredyt1[[#This Row],[Oprocentowanie]]/12,Kredyt1[[#This Row],[Miesiąc kredytu]],IlośćRat,KwotaKredytu),"")</f>
        <v>957.23395946506673</v>
      </c>
      <c r="K221" s="75" cm="1">
        <f t="array" ref="K221">IF(Kredyt1[[#This Row],[Miesiąc kredytu]]="","",-PMT(Kredyt1[[#This Row],[Oprocentowanie]]/12,IlośćRat,KwotaKredytu))</f>
        <v>1556.0489869453118</v>
      </c>
      <c r="L221" s="75">
        <v>0</v>
      </c>
      <c r="M221" s="76">
        <f>IFERROR(M220-J221-Kredyt1[[#This Row],[Nadpłata]],"")</f>
        <v>178687.27428460849</v>
      </c>
    </row>
    <row r="222" spans="4:13">
      <c r="D222" s="70" cm="1">
        <f t="array" ref="D222">IF(ROW(217:217)&lt;=IlośćRat,ROW(217:217),"")</f>
        <v>217</v>
      </c>
      <c r="E222" s="70">
        <f>IFERROR(ROUNDUP(Kredyt1[[#This Row],[Miesiąc kredytu]]/12,0),"")</f>
        <v>19</v>
      </c>
      <c r="F222" s="71">
        <f t="shared" si="3"/>
        <v>50679</v>
      </c>
      <c r="G222" s="72" cm="1">
        <f t="array" ref="G222">IF(Kredyt1[[#This Row],[Data]]="","",WIBOR3M)</f>
        <v>0.02</v>
      </c>
      <c r="H222" s="72" cm="1">
        <f t="array" ref="H222">IF(Kredyt1[[#This Row],[Data]]="","",G222+MarżaBAnku)</f>
        <v>0.04</v>
      </c>
      <c r="I222" s="73">
        <f>IF(Kredyt1[[#This Row],[Data]]="","",Kredyt1[[#This Row],[Cała rata]]-Kredyt1[[#This Row],[Kapitał]])</f>
        <v>595.62424761536158</v>
      </c>
      <c r="J222" s="74" cm="1">
        <f t="array" ref="J222">IFERROR(-PPMT(Kredyt1[[#This Row],[Oprocentowanie]]/12,Kredyt1[[#This Row],[Miesiąc kredytu]],IlośćRat,KwotaKredytu),"")</f>
        <v>960.42473932995017</v>
      </c>
      <c r="K222" s="75" cm="1">
        <f t="array" ref="K222">IF(Kredyt1[[#This Row],[Miesiąc kredytu]]="","",-PMT(Kredyt1[[#This Row],[Oprocentowanie]]/12,IlośćRat,KwotaKredytu))</f>
        <v>1556.0489869453118</v>
      </c>
      <c r="L222" s="75">
        <v>0</v>
      </c>
      <c r="M222" s="76">
        <f>IFERROR(M221-J222-Kredyt1[[#This Row],[Nadpłata]],"")</f>
        <v>177726.84954527853</v>
      </c>
    </row>
    <row r="223" spans="4:13">
      <c r="D223" s="70" cm="1">
        <f t="array" ref="D223">IF(ROW(218:218)&lt;=IlośćRat,ROW(218:218),"")</f>
        <v>218</v>
      </c>
      <c r="E223" s="70">
        <f>IFERROR(ROUNDUP(Kredyt1[[#This Row],[Miesiąc kredytu]]/12,0),"")</f>
        <v>19</v>
      </c>
      <c r="F223" s="71">
        <f t="shared" si="3"/>
        <v>50710</v>
      </c>
      <c r="G223" s="72" cm="1">
        <f t="array" ref="G223">IF(Kredyt1[[#This Row],[Data]]="","",WIBOR3M)</f>
        <v>0.02</v>
      </c>
      <c r="H223" s="72" cm="1">
        <f t="array" ref="H223">IF(Kredyt1[[#This Row],[Data]]="","",G223+MarżaBAnku)</f>
        <v>0.04</v>
      </c>
      <c r="I223" s="73">
        <f>IF(Kredyt1[[#This Row],[Data]]="","",Kredyt1[[#This Row],[Cała rata]]-Kredyt1[[#This Row],[Kapitał]])</f>
        <v>592.42283181759524</v>
      </c>
      <c r="J223" s="74" cm="1">
        <f t="array" ref="J223">IFERROR(-PPMT(Kredyt1[[#This Row],[Oprocentowanie]]/12,Kredyt1[[#This Row],[Miesiąc kredytu]],IlośćRat,KwotaKredytu),"")</f>
        <v>963.62615512771652</v>
      </c>
      <c r="K223" s="75" cm="1">
        <f t="array" ref="K223">IF(Kredyt1[[#This Row],[Miesiąc kredytu]]="","",-PMT(Kredyt1[[#This Row],[Oprocentowanie]]/12,IlośćRat,KwotaKredytu))</f>
        <v>1556.0489869453118</v>
      </c>
      <c r="L223" s="75">
        <v>0</v>
      </c>
      <c r="M223" s="76">
        <f>IFERROR(M222-J223-Kredyt1[[#This Row],[Nadpłata]],"")</f>
        <v>176763.22339015082</v>
      </c>
    </row>
    <row r="224" spans="4:13">
      <c r="D224" s="70" cm="1">
        <f t="array" ref="D224">IF(ROW(219:219)&lt;=IlośćRat,ROW(219:219),"")</f>
        <v>219</v>
      </c>
      <c r="E224" s="70">
        <f>IFERROR(ROUNDUP(Kredyt1[[#This Row],[Miesiąc kredytu]]/12,0),"")</f>
        <v>19</v>
      </c>
      <c r="F224" s="71">
        <f t="shared" si="3"/>
        <v>50740</v>
      </c>
      <c r="G224" s="72" cm="1">
        <f t="array" ref="G224">IF(Kredyt1[[#This Row],[Data]]="","",WIBOR3M)</f>
        <v>0.02</v>
      </c>
      <c r="H224" s="72" cm="1">
        <f t="array" ref="H224">IF(Kredyt1[[#This Row],[Data]]="","",G224+MarżaBAnku)</f>
        <v>0.04</v>
      </c>
      <c r="I224" s="73">
        <f>IF(Kredyt1[[#This Row],[Data]]="","",Kredyt1[[#This Row],[Cała rata]]-Kredyt1[[#This Row],[Kapitał]])</f>
        <v>589.21074463383593</v>
      </c>
      <c r="J224" s="74" cm="1">
        <f t="array" ref="J224">IFERROR(-PPMT(Kredyt1[[#This Row],[Oprocentowanie]]/12,Kredyt1[[#This Row],[Miesiąc kredytu]],IlośćRat,KwotaKredytu),"")</f>
        <v>966.83824231147582</v>
      </c>
      <c r="K224" s="75" cm="1">
        <f t="array" ref="K224">IF(Kredyt1[[#This Row],[Miesiąc kredytu]]="","",-PMT(Kredyt1[[#This Row],[Oprocentowanie]]/12,IlośćRat,KwotaKredytu))</f>
        <v>1556.0489869453118</v>
      </c>
      <c r="L224" s="75">
        <v>0</v>
      </c>
      <c r="M224" s="76">
        <f>IFERROR(M223-J224-Kredyt1[[#This Row],[Nadpłata]],"")</f>
        <v>175796.38514783935</v>
      </c>
    </row>
    <row r="225" spans="4:13">
      <c r="D225" s="70" cm="1">
        <f t="array" ref="D225">IF(ROW(220:220)&lt;=IlośćRat,ROW(220:220),"")</f>
        <v>220</v>
      </c>
      <c r="E225" s="70">
        <f>IFERROR(ROUNDUP(Kredyt1[[#This Row],[Miesiąc kredytu]]/12,0),"")</f>
        <v>19</v>
      </c>
      <c r="F225" s="71">
        <f t="shared" si="3"/>
        <v>50771</v>
      </c>
      <c r="G225" s="72" cm="1">
        <f t="array" ref="G225">IF(Kredyt1[[#This Row],[Data]]="","",WIBOR3M)</f>
        <v>0.02</v>
      </c>
      <c r="H225" s="72" cm="1">
        <f t="array" ref="H225">IF(Kredyt1[[#This Row],[Data]]="","",G225+MarżaBAnku)</f>
        <v>0.04</v>
      </c>
      <c r="I225" s="73">
        <f>IF(Kredyt1[[#This Row],[Data]]="","",Kredyt1[[#This Row],[Cała rata]]-Kredyt1[[#This Row],[Kapitał]])</f>
        <v>585.98795049279761</v>
      </c>
      <c r="J225" s="74" cm="1">
        <f t="array" ref="J225">IFERROR(-PPMT(Kredyt1[[#This Row],[Oprocentowanie]]/12,Kredyt1[[#This Row],[Miesiąc kredytu]],IlośćRat,KwotaKredytu),"")</f>
        <v>970.06103645251414</v>
      </c>
      <c r="K225" s="75" cm="1">
        <f t="array" ref="K225">IF(Kredyt1[[#This Row],[Miesiąc kredytu]]="","",-PMT(Kredyt1[[#This Row],[Oprocentowanie]]/12,IlośćRat,KwotaKredytu))</f>
        <v>1556.0489869453118</v>
      </c>
      <c r="L225" s="75">
        <v>0</v>
      </c>
      <c r="M225" s="76">
        <f>IFERROR(M224-J225-Kredyt1[[#This Row],[Nadpłata]],"")</f>
        <v>174826.32411138684</v>
      </c>
    </row>
    <row r="226" spans="4:13">
      <c r="D226" s="70" cm="1">
        <f t="array" ref="D226">IF(ROW(221:221)&lt;=IlośćRat,ROW(221:221),"")</f>
        <v>221</v>
      </c>
      <c r="E226" s="70">
        <f>IFERROR(ROUNDUP(Kredyt1[[#This Row],[Miesiąc kredytu]]/12,0),"")</f>
        <v>19</v>
      </c>
      <c r="F226" s="71">
        <f t="shared" si="3"/>
        <v>50802</v>
      </c>
      <c r="G226" s="72" cm="1">
        <f t="array" ref="G226">IF(Kredyt1[[#This Row],[Data]]="","",WIBOR3M)</f>
        <v>0.02</v>
      </c>
      <c r="H226" s="72" cm="1">
        <f t="array" ref="H226">IF(Kredyt1[[#This Row],[Data]]="","",G226+MarżaBAnku)</f>
        <v>0.04</v>
      </c>
      <c r="I226" s="73">
        <f>IF(Kredyt1[[#This Row],[Data]]="","",Kredyt1[[#This Row],[Cała rata]]-Kredyt1[[#This Row],[Kapitał]])</f>
        <v>582.75441370462249</v>
      </c>
      <c r="J226" s="74" cm="1">
        <f t="array" ref="J226">IFERROR(-PPMT(Kredyt1[[#This Row],[Oprocentowanie]]/12,Kredyt1[[#This Row],[Miesiąc kredytu]],IlośćRat,KwotaKredytu),"")</f>
        <v>973.29457324068926</v>
      </c>
      <c r="K226" s="75" cm="1">
        <f t="array" ref="K226">IF(Kredyt1[[#This Row],[Miesiąc kredytu]]="","",-PMT(Kredyt1[[#This Row],[Oprocentowanie]]/12,IlośćRat,KwotaKredytu))</f>
        <v>1556.0489869453118</v>
      </c>
      <c r="L226" s="75">
        <v>0</v>
      </c>
      <c r="M226" s="76">
        <f>IFERROR(M225-J226-Kredyt1[[#This Row],[Nadpłata]],"")</f>
        <v>173853.02953814616</v>
      </c>
    </row>
    <row r="227" spans="4:13">
      <c r="D227" s="70" cm="1">
        <f t="array" ref="D227">IF(ROW(222:222)&lt;=IlośćRat,ROW(222:222),"")</f>
        <v>222</v>
      </c>
      <c r="E227" s="70">
        <f>IFERROR(ROUNDUP(Kredyt1[[#This Row],[Miesiąc kredytu]]/12,0),"")</f>
        <v>19</v>
      </c>
      <c r="F227" s="71">
        <f t="shared" si="3"/>
        <v>50830</v>
      </c>
      <c r="G227" s="72" cm="1">
        <f t="array" ref="G227">IF(Kredyt1[[#This Row],[Data]]="","",WIBOR3M)</f>
        <v>0.02</v>
      </c>
      <c r="H227" s="72" cm="1">
        <f t="array" ref="H227">IF(Kredyt1[[#This Row],[Data]]="","",G227+MarżaBAnku)</f>
        <v>0.04</v>
      </c>
      <c r="I227" s="73">
        <f>IF(Kredyt1[[#This Row],[Data]]="","",Kredyt1[[#This Row],[Cała rata]]-Kredyt1[[#This Row],[Kapitał]])</f>
        <v>579.51009846048714</v>
      </c>
      <c r="J227" s="74" cm="1">
        <f t="array" ref="J227">IFERROR(-PPMT(Kredyt1[[#This Row],[Oprocentowanie]]/12,Kredyt1[[#This Row],[Miesiąc kredytu]],IlośćRat,KwotaKredytu),"")</f>
        <v>976.53888848482461</v>
      </c>
      <c r="K227" s="75" cm="1">
        <f t="array" ref="K227">IF(Kredyt1[[#This Row],[Miesiąc kredytu]]="","",-PMT(Kredyt1[[#This Row],[Oprocentowanie]]/12,IlośćRat,KwotaKredytu))</f>
        <v>1556.0489869453118</v>
      </c>
      <c r="L227" s="75">
        <v>0</v>
      </c>
      <c r="M227" s="76">
        <f>IFERROR(M226-J227-Kredyt1[[#This Row],[Nadpłata]],"")</f>
        <v>172876.49064966134</v>
      </c>
    </row>
    <row r="228" spans="4:13">
      <c r="D228" s="70" cm="1">
        <f t="array" ref="D228">IF(ROW(223:223)&lt;=IlośćRat,ROW(223:223),"")</f>
        <v>223</v>
      </c>
      <c r="E228" s="70">
        <f>IFERROR(ROUNDUP(Kredyt1[[#This Row],[Miesiąc kredytu]]/12,0),"")</f>
        <v>19</v>
      </c>
      <c r="F228" s="71">
        <f t="shared" si="3"/>
        <v>50861</v>
      </c>
      <c r="G228" s="72" cm="1">
        <f t="array" ref="G228">IF(Kredyt1[[#This Row],[Data]]="","",WIBOR3M)</f>
        <v>0.02</v>
      </c>
      <c r="H228" s="72" cm="1">
        <f t="array" ref="H228">IF(Kredyt1[[#This Row],[Data]]="","",G228+MarżaBAnku)</f>
        <v>0.04</v>
      </c>
      <c r="I228" s="73">
        <f>IF(Kredyt1[[#This Row],[Data]]="","",Kredyt1[[#This Row],[Cała rata]]-Kredyt1[[#This Row],[Kapitał]])</f>
        <v>576.25496883220421</v>
      </c>
      <c r="J228" s="74" cm="1">
        <f t="array" ref="J228">IFERROR(-PPMT(Kredyt1[[#This Row],[Oprocentowanie]]/12,Kredyt1[[#This Row],[Miesiąc kredytu]],IlośćRat,KwotaKredytu),"")</f>
        <v>979.79401811310754</v>
      </c>
      <c r="K228" s="75" cm="1">
        <f t="array" ref="K228">IF(Kredyt1[[#This Row],[Miesiąc kredytu]]="","",-PMT(Kredyt1[[#This Row],[Oprocentowanie]]/12,IlośćRat,KwotaKredytu))</f>
        <v>1556.0489869453118</v>
      </c>
      <c r="L228" s="75">
        <v>0</v>
      </c>
      <c r="M228" s="76">
        <f>IFERROR(M227-J228-Kredyt1[[#This Row],[Nadpłata]],"")</f>
        <v>171896.69663154823</v>
      </c>
    </row>
    <row r="229" spans="4:13">
      <c r="D229" s="70" cm="1">
        <f t="array" ref="D229">IF(ROW(224:224)&lt;=IlośćRat,ROW(224:224),"")</f>
        <v>224</v>
      </c>
      <c r="E229" s="70">
        <f>IFERROR(ROUNDUP(Kredyt1[[#This Row],[Miesiąc kredytu]]/12,0),"")</f>
        <v>19</v>
      </c>
      <c r="F229" s="71">
        <f t="shared" si="3"/>
        <v>50891</v>
      </c>
      <c r="G229" s="72" cm="1">
        <f t="array" ref="G229">IF(Kredyt1[[#This Row],[Data]]="","",WIBOR3M)</f>
        <v>0.02</v>
      </c>
      <c r="H229" s="72" cm="1">
        <f t="array" ref="H229">IF(Kredyt1[[#This Row],[Data]]="","",G229+MarżaBAnku)</f>
        <v>0.04</v>
      </c>
      <c r="I229" s="73">
        <f>IF(Kredyt1[[#This Row],[Data]]="","",Kredyt1[[#This Row],[Cała rata]]-Kredyt1[[#This Row],[Kapitał]])</f>
        <v>572.98898877182739</v>
      </c>
      <c r="J229" s="74" cm="1">
        <f t="array" ref="J229">IFERROR(-PPMT(Kredyt1[[#This Row],[Oprocentowanie]]/12,Kredyt1[[#This Row],[Miesiąc kredytu]],IlośćRat,KwotaKredytu),"")</f>
        <v>983.05999817348436</v>
      </c>
      <c r="K229" s="75" cm="1">
        <f t="array" ref="K229">IF(Kredyt1[[#This Row],[Miesiąc kredytu]]="","",-PMT(Kredyt1[[#This Row],[Oprocentowanie]]/12,IlośćRat,KwotaKredytu))</f>
        <v>1556.0489869453118</v>
      </c>
      <c r="L229" s="75">
        <v>0</v>
      </c>
      <c r="M229" s="76">
        <f>IFERROR(M228-J229-Kredyt1[[#This Row],[Nadpłata]],"")</f>
        <v>170913.63663337476</v>
      </c>
    </row>
    <row r="230" spans="4:13">
      <c r="D230" s="70" cm="1">
        <f t="array" ref="D230">IF(ROW(225:225)&lt;=IlośćRat,ROW(225:225),"")</f>
        <v>225</v>
      </c>
      <c r="E230" s="70">
        <f>IFERROR(ROUNDUP(Kredyt1[[#This Row],[Miesiąc kredytu]]/12,0),"")</f>
        <v>19</v>
      </c>
      <c r="F230" s="71">
        <f t="shared" si="3"/>
        <v>50922</v>
      </c>
      <c r="G230" s="72" cm="1">
        <f t="array" ref="G230">IF(Kredyt1[[#This Row],[Data]]="","",WIBOR3M)</f>
        <v>0.02</v>
      </c>
      <c r="H230" s="72" cm="1">
        <f t="array" ref="H230">IF(Kredyt1[[#This Row],[Data]]="","",G230+MarżaBAnku)</f>
        <v>0.04</v>
      </c>
      <c r="I230" s="73">
        <f>IF(Kredyt1[[#This Row],[Data]]="","",Kredyt1[[#This Row],[Cała rata]]-Kredyt1[[#This Row],[Kapitał]])</f>
        <v>569.71212211124896</v>
      </c>
      <c r="J230" s="74" cm="1">
        <f t="array" ref="J230">IFERROR(-PPMT(Kredyt1[[#This Row],[Oprocentowanie]]/12,Kredyt1[[#This Row],[Miesiąc kredytu]],IlośćRat,KwotaKredytu),"")</f>
        <v>986.33686483406279</v>
      </c>
      <c r="K230" s="75" cm="1">
        <f t="array" ref="K230">IF(Kredyt1[[#This Row],[Miesiąc kredytu]]="","",-PMT(Kredyt1[[#This Row],[Oprocentowanie]]/12,IlośćRat,KwotaKredytu))</f>
        <v>1556.0489869453118</v>
      </c>
      <c r="L230" s="75">
        <v>0</v>
      </c>
      <c r="M230" s="76">
        <f>IFERROR(M229-J230-Kredyt1[[#This Row],[Nadpłata]],"")</f>
        <v>169927.29976854069</v>
      </c>
    </row>
    <row r="231" spans="4:13">
      <c r="D231" s="70" cm="1">
        <f t="array" ref="D231">IF(ROW(226:226)&lt;=IlośćRat,ROW(226:226),"")</f>
        <v>226</v>
      </c>
      <c r="E231" s="70">
        <f>IFERROR(ROUNDUP(Kredyt1[[#This Row],[Miesiąc kredytu]]/12,0),"")</f>
        <v>19</v>
      </c>
      <c r="F231" s="71">
        <f t="shared" si="3"/>
        <v>50952</v>
      </c>
      <c r="G231" s="72" cm="1">
        <f t="array" ref="G231">IF(Kredyt1[[#This Row],[Data]]="","",WIBOR3M)</f>
        <v>0.02</v>
      </c>
      <c r="H231" s="72" cm="1">
        <f t="array" ref="H231">IF(Kredyt1[[#This Row],[Data]]="","",G231+MarżaBAnku)</f>
        <v>0.04</v>
      </c>
      <c r="I231" s="73">
        <f>IF(Kredyt1[[#This Row],[Data]]="","",Kredyt1[[#This Row],[Cała rata]]-Kredyt1[[#This Row],[Kapitał]])</f>
        <v>566.42433256180209</v>
      </c>
      <c r="J231" s="74" cm="1">
        <f t="array" ref="J231">IFERROR(-PPMT(Kredyt1[[#This Row],[Oprocentowanie]]/12,Kredyt1[[#This Row],[Miesiąc kredytu]],IlośćRat,KwotaKredytu),"")</f>
        <v>989.62465438350966</v>
      </c>
      <c r="K231" s="75" cm="1">
        <f t="array" ref="K231">IF(Kredyt1[[#This Row],[Miesiąc kredytu]]="","",-PMT(Kredyt1[[#This Row],[Oprocentowanie]]/12,IlośćRat,KwotaKredytu))</f>
        <v>1556.0489869453118</v>
      </c>
      <c r="L231" s="75">
        <v>0</v>
      </c>
      <c r="M231" s="76">
        <f>IFERROR(M230-J231-Kredyt1[[#This Row],[Nadpłata]],"")</f>
        <v>168937.67511415717</v>
      </c>
    </row>
    <row r="232" spans="4:13">
      <c r="D232" s="70" cm="1">
        <f t="array" ref="D232">IF(ROW(227:227)&lt;=IlośćRat,ROW(227:227),"")</f>
        <v>227</v>
      </c>
      <c r="E232" s="70">
        <f>IFERROR(ROUNDUP(Kredyt1[[#This Row],[Miesiąc kredytu]]/12,0),"")</f>
        <v>19</v>
      </c>
      <c r="F232" s="71">
        <f t="shared" si="3"/>
        <v>50983</v>
      </c>
      <c r="G232" s="72" cm="1">
        <f t="array" ref="G232">IF(Kredyt1[[#This Row],[Data]]="","",WIBOR3M)</f>
        <v>0.02</v>
      </c>
      <c r="H232" s="72" cm="1">
        <f t="array" ref="H232">IF(Kredyt1[[#This Row],[Data]]="","",G232+MarżaBAnku)</f>
        <v>0.04</v>
      </c>
      <c r="I232" s="73">
        <f>IF(Kredyt1[[#This Row],[Data]]="","",Kredyt1[[#This Row],[Cała rata]]-Kredyt1[[#This Row],[Kapitał]])</f>
        <v>563.12558371385705</v>
      </c>
      <c r="J232" s="74" cm="1">
        <f t="array" ref="J232">IFERROR(-PPMT(Kredyt1[[#This Row],[Oprocentowanie]]/12,Kredyt1[[#This Row],[Miesiąc kredytu]],IlośćRat,KwotaKredytu),"")</f>
        <v>992.9234032314547</v>
      </c>
      <c r="K232" s="75" cm="1">
        <f t="array" ref="K232">IF(Kredyt1[[#This Row],[Miesiąc kredytu]]="","",-PMT(Kredyt1[[#This Row],[Oprocentowanie]]/12,IlośćRat,KwotaKredytu))</f>
        <v>1556.0489869453118</v>
      </c>
      <c r="L232" s="75">
        <v>0</v>
      </c>
      <c r="M232" s="76">
        <f>IFERROR(M231-J232-Kredyt1[[#This Row],[Nadpłata]],"")</f>
        <v>167944.75171092572</v>
      </c>
    </row>
    <row r="233" spans="4:13">
      <c r="D233" s="70" cm="1">
        <f t="array" ref="D233">IF(ROW(228:228)&lt;=IlośćRat,ROW(228:228),"")</f>
        <v>228</v>
      </c>
      <c r="E233" s="70">
        <f>IFERROR(ROUNDUP(Kredyt1[[#This Row],[Miesiąc kredytu]]/12,0),"")</f>
        <v>19</v>
      </c>
      <c r="F233" s="71">
        <f t="shared" si="3"/>
        <v>51014</v>
      </c>
      <c r="G233" s="72" cm="1">
        <f t="array" ref="G233">IF(Kredyt1[[#This Row],[Data]]="","",WIBOR3M)</f>
        <v>0.02</v>
      </c>
      <c r="H233" s="72" cm="1">
        <f t="array" ref="H233">IF(Kredyt1[[#This Row],[Data]]="","",G233+MarżaBAnku)</f>
        <v>0.04</v>
      </c>
      <c r="I233" s="73">
        <f>IF(Kredyt1[[#This Row],[Data]]="","",Kredyt1[[#This Row],[Cała rata]]-Kredyt1[[#This Row],[Kapitał]])</f>
        <v>559.81583903641877</v>
      </c>
      <c r="J233" s="74" cm="1">
        <f t="array" ref="J233">IFERROR(-PPMT(Kredyt1[[#This Row],[Oprocentowanie]]/12,Kredyt1[[#This Row],[Miesiąc kredytu]],IlośćRat,KwotaKredytu),"")</f>
        <v>996.23314790889299</v>
      </c>
      <c r="K233" s="75" cm="1">
        <f t="array" ref="K233">IF(Kredyt1[[#This Row],[Miesiąc kredytu]]="","",-PMT(Kredyt1[[#This Row],[Oprocentowanie]]/12,IlośćRat,KwotaKredytu))</f>
        <v>1556.0489869453118</v>
      </c>
      <c r="L233" s="75">
        <v>0</v>
      </c>
      <c r="M233" s="76">
        <f>IFERROR(M232-J233-Kredyt1[[#This Row],[Nadpłata]],"")</f>
        <v>166948.51856301681</v>
      </c>
    </row>
    <row r="234" spans="4:13">
      <c r="D234" s="70" cm="1">
        <f t="array" ref="D234">IF(ROW(229:229)&lt;=IlośćRat,ROW(229:229),"")</f>
        <v>229</v>
      </c>
      <c r="E234" s="70">
        <f>IFERROR(ROUNDUP(Kredyt1[[#This Row],[Miesiąc kredytu]]/12,0),"")</f>
        <v>20</v>
      </c>
      <c r="F234" s="71">
        <f t="shared" si="3"/>
        <v>51044</v>
      </c>
      <c r="G234" s="72" cm="1">
        <f t="array" ref="G234">IF(Kredyt1[[#This Row],[Data]]="","",WIBOR3M)</f>
        <v>0.02</v>
      </c>
      <c r="H234" s="72" cm="1">
        <f t="array" ref="H234">IF(Kredyt1[[#This Row],[Data]]="","",G234+MarżaBAnku)</f>
        <v>0.04</v>
      </c>
      <c r="I234" s="73">
        <f>IF(Kredyt1[[#This Row],[Data]]="","",Kredyt1[[#This Row],[Cała rata]]-Kredyt1[[#This Row],[Kapitał]])</f>
        <v>556.4950618767225</v>
      </c>
      <c r="J234" s="74" cm="1">
        <f t="array" ref="J234">IFERROR(-PPMT(Kredyt1[[#This Row],[Oprocentowanie]]/12,Kredyt1[[#This Row],[Miesiąc kredytu]],IlośćRat,KwotaKredytu),"")</f>
        <v>999.55392506858925</v>
      </c>
      <c r="K234" s="75" cm="1">
        <f t="array" ref="K234">IF(Kredyt1[[#This Row],[Miesiąc kredytu]]="","",-PMT(Kredyt1[[#This Row],[Oprocentowanie]]/12,IlośćRat,KwotaKredytu))</f>
        <v>1556.0489869453118</v>
      </c>
      <c r="L234" s="75">
        <v>0</v>
      </c>
      <c r="M234" s="76">
        <f>IFERROR(M233-J234-Kredyt1[[#This Row],[Nadpłata]],"")</f>
        <v>165948.96463794823</v>
      </c>
    </row>
    <row r="235" spans="4:13">
      <c r="D235" s="70" cm="1">
        <f t="array" ref="D235">IF(ROW(230:230)&lt;=IlośćRat,ROW(230:230),"")</f>
        <v>230</v>
      </c>
      <c r="E235" s="70">
        <f>IFERROR(ROUNDUP(Kredyt1[[#This Row],[Miesiąc kredytu]]/12,0),"")</f>
        <v>20</v>
      </c>
      <c r="F235" s="71">
        <f t="shared" si="3"/>
        <v>51075</v>
      </c>
      <c r="G235" s="72" cm="1">
        <f t="array" ref="G235">IF(Kredyt1[[#This Row],[Data]]="","",WIBOR3M)</f>
        <v>0.02</v>
      </c>
      <c r="H235" s="72" cm="1">
        <f t="array" ref="H235">IF(Kredyt1[[#This Row],[Data]]="","",G235+MarżaBAnku)</f>
        <v>0.04</v>
      </c>
      <c r="I235" s="73">
        <f>IF(Kredyt1[[#This Row],[Data]]="","",Kredyt1[[#This Row],[Cała rata]]-Kredyt1[[#This Row],[Kapitał]])</f>
        <v>553.16321545982726</v>
      </c>
      <c r="J235" s="74" cm="1">
        <f t="array" ref="J235">IFERROR(-PPMT(Kredyt1[[#This Row],[Oprocentowanie]]/12,Kredyt1[[#This Row],[Miesiąc kredytu]],IlośćRat,KwotaKredytu),"")</f>
        <v>1002.8857714854845</v>
      </c>
      <c r="K235" s="75" cm="1">
        <f t="array" ref="K235">IF(Kredyt1[[#This Row],[Miesiąc kredytu]]="","",-PMT(Kredyt1[[#This Row],[Oprocentowanie]]/12,IlośćRat,KwotaKredytu))</f>
        <v>1556.0489869453118</v>
      </c>
      <c r="L235" s="75">
        <v>0</v>
      </c>
      <c r="M235" s="76">
        <f>IFERROR(M234-J235-Kredyt1[[#This Row],[Nadpłata]],"")</f>
        <v>164946.07886646275</v>
      </c>
    </row>
    <row r="236" spans="4:13">
      <c r="D236" s="70" cm="1">
        <f t="array" ref="D236">IF(ROW(231:231)&lt;=IlośćRat,ROW(231:231),"")</f>
        <v>231</v>
      </c>
      <c r="E236" s="70">
        <f>IFERROR(ROUNDUP(Kredyt1[[#This Row],[Miesiąc kredytu]]/12,0),"")</f>
        <v>20</v>
      </c>
      <c r="F236" s="71">
        <f t="shared" si="3"/>
        <v>51105</v>
      </c>
      <c r="G236" s="72" cm="1">
        <f t="array" ref="G236">IF(Kredyt1[[#This Row],[Data]]="","",WIBOR3M)</f>
        <v>0.02</v>
      </c>
      <c r="H236" s="72" cm="1">
        <f t="array" ref="H236">IF(Kredyt1[[#This Row],[Data]]="","",G236+MarżaBAnku)</f>
        <v>0.04</v>
      </c>
      <c r="I236" s="73">
        <f>IF(Kredyt1[[#This Row],[Data]]="","",Kredyt1[[#This Row],[Cała rata]]-Kredyt1[[#This Row],[Kapitał]])</f>
        <v>549.82026288820884</v>
      </c>
      <c r="J236" s="74" cm="1">
        <f t="array" ref="J236">IFERROR(-PPMT(Kredyt1[[#This Row],[Oprocentowanie]]/12,Kredyt1[[#This Row],[Miesiąc kredytu]],IlośćRat,KwotaKredytu),"")</f>
        <v>1006.2287240571029</v>
      </c>
      <c r="K236" s="75" cm="1">
        <f t="array" ref="K236">IF(Kredyt1[[#This Row],[Miesiąc kredytu]]="","",-PMT(Kredyt1[[#This Row],[Oprocentowanie]]/12,IlośćRat,KwotaKredytu))</f>
        <v>1556.0489869453118</v>
      </c>
      <c r="L236" s="75">
        <v>0</v>
      </c>
      <c r="M236" s="76">
        <f>IFERROR(M235-J236-Kredyt1[[#This Row],[Nadpłata]],"")</f>
        <v>163939.85014240563</v>
      </c>
    </row>
    <row r="237" spans="4:13">
      <c r="D237" s="70" cm="1">
        <f t="array" ref="D237">IF(ROW(232:232)&lt;=IlośćRat,ROW(232:232),"")</f>
        <v>232</v>
      </c>
      <c r="E237" s="70">
        <f>IFERROR(ROUNDUP(Kredyt1[[#This Row],[Miesiąc kredytu]]/12,0),"")</f>
        <v>20</v>
      </c>
      <c r="F237" s="71">
        <f t="shared" si="3"/>
        <v>51136</v>
      </c>
      <c r="G237" s="72" cm="1">
        <f t="array" ref="G237">IF(Kredyt1[[#This Row],[Data]]="","",WIBOR3M)</f>
        <v>0.02</v>
      </c>
      <c r="H237" s="72" cm="1">
        <f t="array" ref="H237">IF(Kredyt1[[#This Row],[Data]]="","",G237+MarżaBAnku)</f>
        <v>0.04</v>
      </c>
      <c r="I237" s="73">
        <f>IF(Kredyt1[[#This Row],[Data]]="","",Kredyt1[[#This Row],[Cała rata]]-Kredyt1[[#This Row],[Kapitał]])</f>
        <v>546.46616714135189</v>
      </c>
      <c r="J237" s="74" cm="1">
        <f t="array" ref="J237">IFERROR(-PPMT(Kredyt1[[#This Row],[Oprocentowanie]]/12,Kredyt1[[#This Row],[Miesiąc kredytu]],IlośćRat,KwotaKredytu),"")</f>
        <v>1009.5828198039599</v>
      </c>
      <c r="K237" s="75" cm="1">
        <f t="array" ref="K237">IF(Kredyt1[[#This Row],[Miesiąc kredytu]]="","",-PMT(Kredyt1[[#This Row],[Oprocentowanie]]/12,IlośćRat,KwotaKredytu))</f>
        <v>1556.0489869453118</v>
      </c>
      <c r="L237" s="75">
        <v>0</v>
      </c>
      <c r="M237" s="76">
        <f>IFERROR(M236-J237-Kredyt1[[#This Row],[Nadpłata]],"")</f>
        <v>162930.26732260166</v>
      </c>
    </row>
    <row r="238" spans="4:13">
      <c r="D238" s="70" cm="1">
        <f t="array" ref="D238">IF(ROW(233:233)&lt;=IlośćRat,ROW(233:233),"")</f>
        <v>233</v>
      </c>
      <c r="E238" s="70">
        <f>IFERROR(ROUNDUP(Kredyt1[[#This Row],[Miesiąc kredytu]]/12,0),"")</f>
        <v>20</v>
      </c>
      <c r="F238" s="71">
        <f t="shared" si="3"/>
        <v>51167</v>
      </c>
      <c r="G238" s="72" cm="1">
        <f t="array" ref="G238">IF(Kredyt1[[#This Row],[Data]]="","",WIBOR3M)</f>
        <v>0.02</v>
      </c>
      <c r="H238" s="72" cm="1">
        <f t="array" ref="H238">IF(Kredyt1[[#This Row],[Data]]="","",G238+MarżaBAnku)</f>
        <v>0.04</v>
      </c>
      <c r="I238" s="73">
        <f>IF(Kredyt1[[#This Row],[Data]]="","",Kredyt1[[#This Row],[Cała rata]]-Kredyt1[[#This Row],[Kapitał]])</f>
        <v>543.10089107533872</v>
      </c>
      <c r="J238" s="74" cm="1">
        <f t="array" ref="J238">IFERROR(-PPMT(Kredyt1[[#This Row],[Oprocentowanie]]/12,Kredyt1[[#This Row],[Miesiąc kredytu]],IlośćRat,KwotaKredytu),"")</f>
        <v>1012.948095869973</v>
      </c>
      <c r="K238" s="75" cm="1">
        <f t="array" ref="K238">IF(Kredyt1[[#This Row],[Miesiąc kredytu]]="","",-PMT(Kredyt1[[#This Row],[Oprocentowanie]]/12,IlośćRat,KwotaKredytu))</f>
        <v>1556.0489869453118</v>
      </c>
      <c r="L238" s="75">
        <v>0</v>
      </c>
      <c r="M238" s="76">
        <f>IFERROR(M237-J238-Kredyt1[[#This Row],[Nadpłata]],"")</f>
        <v>161917.31922673169</v>
      </c>
    </row>
    <row r="239" spans="4:13">
      <c r="D239" s="70" cm="1">
        <f t="array" ref="D239">IF(ROW(234:234)&lt;=IlośćRat,ROW(234:234),"")</f>
        <v>234</v>
      </c>
      <c r="E239" s="70">
        <f>IFERROR(ROUNDUP(Kredyt1[[#This Row],[Miesiąc kredytu]]/12,0),"")</f>
        <v>20</v>
      </c>
      <c r="F239" s="71">
        <f t="shared" si="3"/>
        <v>51196</v>
      </c>
      <c r="G239" s="72" cm="1">
        <f t="array" ref="G239">IF(Kredyt1[[#This Row],[Data]]="","",WIBOR3M)</f>
        <v>0.02</v>
      </c>
      <c r="H239" s="72" cm="1">
        <f t="array" ref="H239">IF(Kredyt1[[#This Row],[Data]]="","",G239+MarżaBAnku)</f>
        <v>0.04</v>
      </c>
      <c r="I239" s="73">
        <f>IF(Kredyt1[[#This Row],[Data]]="","",Kredyt1[[#This Row],[Cała rata]]-Kredyt1[[#This Row],[Kapitał]])</f>
        <v>539.72439742243876</v>
      </c>
      <c r="J239" s="74" cm="1">
        <f t="array" ref="J239">IFERROR(-PPMT(Kredyt1[[#This Row],[Oprocentowanie]]/12,Kredyt1[[#This Row],[Miesiąc kredytu]],IlośćRat,KwotaKredytu),"")</f>
        <v>1016.324589522873</v>
      </c>
      <c r="K239" s="75" cm="1">
        <f t="array" ref="K239">IF(Kredyt1[[#This Row],[Miesiąc kredytu]]="","",-PMT(Kredyt1[[#This Row],[Oprocentowanie]]/12,IlośćRat,KwotaKredytu))</f>
        <v>1556.0489869453118</v>
      </c>
      <c r="L239" s="75">
        <v>0</v>
      </c>
      <c r="M239" s="76">
        <f>IFERROR(M238-J239-Kredyt1[[#This Row],[Nadpłata]],"")</f>
        <v>160900.99463720882</v>
      </c>
    </row>
    <row r="240" spans="4:13">
      <c r="D240" s="70" cm="1">
        <f t="array" ref="D240">IF(ROW(235:235)&lt;=IlośćRat,ROW(235:235),"")</f>
        <v>235</v>
      </c>
      <c r="E240" s="70">
        <f>IFERROR(ROUNDUP(Kredyt1[[#This Row],[Miesiąc kredytu]]/12,0),"")</f>
        <v>20</v>
      </c>
      <c r="F240" s="71">
        <f t="shared" si="3"/>
        <v>51227</v>
      </c>
      <c r="G240" s="72" cm="1">
        <f t="array" ref="G240">IF(Kredyt1[[#This Row],[Data]]="","",WIBOR3M)</f>
        <v>0.02</v>
      </c>
      <c r="H240" s="72" cm="1">
        <f t="array" ref="H240">IF(Kredyt1[[#This Row],[Data]]="","",G240+MarżaBAnku)</f>
        <v>0.04</v>
      </c>
      <c r="I240" s="73">
        <f>IF(Kredyt1[[#This Row],[Data]]="","",Kredyt1[[#This Row],[Cała rata]]-Kredyt1[[#This Row],[Kapitał]])</f>
        <v>536.33664879069613</v>
      </c>
      <c r="J240" s="74" cm="1">
        <f t="array" ref="J240">IFERROR(-PPMT(Kredyt1[[#This Row],[Oprocentowanie]]/12,Kredyt1[[#This Row],[Miesiąc kredytu]],IlośćRat,KwotaKredytu),"")</f>
        <v>1019.7123381546156</v>
      </c>
      <c r="K240" s="75" cm="1">
        <f t="array" ref="K240">IF(Kredyt1[[#This Row],[Miesiąc kredytu]]="","",-PMT(Kredyt1[[#This Row],[Oprocentowanie]]/12,IlośćRat,KwotaKredytu))</f>
        <v>1556.0489869453118</v>
      </c>
      <c r="L240" s="75">
        <v>0</v>
      </c>
      <c r="M240" s="76">
        <f>IFERROR(M239-J240-Kredyt1[[#This Row],[Nadpłata]],"")</f>
        <v>159881.2822990542</v>
      </c>
    </row>
    <row r="241" spans="4:13">
      <c r="D241" s="70" cm="1">
        <f t="array" ref="D241">IF(ROW(236:236)&lt;=IlośćRat,ROW(236:236),"")</f>
        <v>236</v>
      </c>
      <c r="E241" s="70">
        <f>IFERROR(ROUNDUP(Kredyt1[[#This Row],[Miesiąc kredytu]]/12,0),"")</f>
        <v>20</v>
      </c>
      <c r="F241" s="71">
        <f t="shared" si="3"/>
        <v>51257</v>
      </c>
      <c r="G241" s="72" cm="1">
        <f t="array" ref="G241">IF(Kredyt1[[#This Row],[Data]]="","",WIBOR3M)</f>
        <v>0.02</v>
      </c>
      <c r="H241" s="72" cm="1">
        <f t="array" ref="H241">IF(Kredyt1[[#This Row],[Data]]="","",G241+MarżaBAnku)</f>
        <v>0.04</v>
      </c>
      <c r="I241" s="73">
        <f>IF(Kredyt1[[#This Row],[Data]]="","",Kredyt1[[#This Row],[Cała rata]]-Kredyt1[[#This Row],[Kapitał]])</f>
        <v>532.93760766351397</v>
      </c>
      <c r="J241" s="74" cm="1">
        <f t="array" ref="J241">IFERROR(-PPMT(Kredyt1[[#This Row],[Oprocentowanie]]/12,Kredyt1[[#This Row],[Miesiąc kredytu]],IlośćRat,KwotaKredytu),"")</f>
        <v>1023.1113792817978</v>
      </c>
      <c r="K241" s="75" cm="1">
        <f t="array" ref="K241">IF(Kredyt1[[#This Row],[Miesiąc kredytu]]="","",-PMT(Kredyt1[[#This Row],[Oprocentowanie]]/12,IlośćRat,KwotaKredytu))</f>
        <v>1556.0489869453118</v>
      </c>
      <c r="L241" s="75">
        <v>0</v>
      </c>
      <c r="M241" s="76">
        <f>IFERROR(M240-J241-Kredyt1[[#This Row],[Nadpłata]],"")</f>
        <v>158858.17091977241</v>
      </c>
    </row>
    <row r="242" spans="4:13">
      <c r="D242" s="70" cm="1">
        <f t="array" ref="D242">IF(ROW(237:237)&lt;=IlośćRat,ROW(237:237),"")</f>
        <v>237</v>
      </c>
      <c r="E242" s="70">
        <f>IFERROR(ROUNDUP(Kredyt1[[#This Row],[Miesiąc kredytu]]/12,0),"")</f>
        <v>20</v>
      </c>
      <c r="F242" s="71">
        <f t="shared" si="3"/>
        <v>51288</v>
      </c>
      <c r="G242" s="72" cm="1">
        <f t="array" ref="G242">IF(Kredyt1[[#This Row],[Data]]="","",WIBOR3M)</f>
        <v>0.02</v>
      </c>
      <c r="H242" s="72" cm="1">
        <f t="array" ref="H242">IF(Kredyt1[[#This Row],[Data]]="","",G242+MarżaBAnku)</f>
        <v>0.04</v>
      </c>
      <c r="I242" s="73">
        <f>IF(Kredyt1[[#This Row],[Data]]="","",Kredyt1[[#This Row],[Cała rata]]-Kredyt1[[#This Row],[Kapitał]])</f>
        <v>529.52723639924125</v>
      </c>
      <c r="J242" s="74" cm="1">
        <f t="array" ref="J242">IFERROR(-PPMT(Kredyt1[[#This Row],[Oprocentowanie]]/12,Kredyt1[[#This Row],[Miesiąc kredytu]],IlośćRat,KwotaKredytu),"")</f>
        <v>1026.5217505460705</v>
      </c>
      <c r="K242" s="75" cm="1">
        <f t="array" ref="K242">IF(Kredyt1[[#This Row],[Miesiąc kredytu]]="","",-PMT(Kredyt1[[#This Row],[Oprocentowanie]]/12,IlośćRat,KwotaKredytu))</f>
        <v>1556.0489869453118</v>
      </c>
      <c r="L242" s="75">
        <v>0</v>
      </c>
      <c r="M242" s="76">
        <f>IFERROR(M241-J242-Kredyt1[[#This Row],[Nadpłata]],"")</f>
        <v>157831.64916922635</v>
      </c>
    </row>
    <row r="243" spans="4:13">
      <c r="D243" s="70" cm="1">
        <f t="array" ref="D243">IF(ROW(238:238)&lt;=IlośćRat,ROW(238:238),"")</f>
        <v>238</v>
      </c>
      <c r="E243" s="70">
        <f>IFERROR(ROUNDUP(Kredyt1[[#This Row],[Miesiąc kredytu]]/12,0),"")</f>
        <v>20</v>
      </c>
      <c r="F243" s="71">
        <f t="shared" si="3"/>
        <v>51318</v>
      </c>
      <c r="G243" s="72" cm="1">
        <f t="array" ref="G243">IF(Kredyt1[[#This Row],[Data]]="","",WIBOR3M)</f>
        <v>0.02</v>
      </c>
      <c r="H243" s="72" cm="1">
        <f t="array" ref="H243">IF(Kredyt1[[#This Row],[Data]]="","",G243+MarżaBAnku)</f>
        <v>0.04</v>
      </c>
      <c r="I243" s="73">
        <f>IF(Kredyt1[[#This Row],[Data]]="","",Kredyt1[[#This Row],[Cała rata]]-Kredyt1[[#This Row],[Kapitał]])</f>
        <v>526.10549723075451</v>
      </c>
      <c r="J243" s="74" cm="1">
        <f t="array" ref="J243">IFERROR(-PPMT(Kredyt1[[#This Row],[Oprocentowanie]]/12,Kredyt1[[#This Row],[Miesiąc kredytu]],IlośćRat,KwotaKredytu),"")</f>
        <v>1029.9434897145572</v>
      </c>
      <c r="K243" s="75" cm="1">
        <f t="array" ref="K243">IF(Kredyt1[[#This Row],[Miesiąc kredytu]]="","",-PMT(Kredyt1[[#This Row],[Oprocentowanie]]/12,IlośćRat,KwotaKredytu))</f>
        <v>1556.0489869453118</v>
      </c>
      <c r="L243" s="75">
        <v>0</v>
      </c>
      <c r="M243" s="76">
        <f>IFERROR(M242-J243-Kredyt1[[#This Row],[Nadpłata]],"")</f>
        <v>156801.7056795118</v>
      </c>
    </row>
    <row r="244" spans="4:13">
      <c r="D244" s="70" cm="1">
        <f t="array" ref="D244">IF(ROW(239:239)&lt;=IlośćRat,ROW(239:239),"")</f>
        <v>239</v>
      </c>
      <c r="E244" s="70">
        <f>IFERROR(ROUNDUP(Kredyt1[[#This Row],[Miesiąc kredytu]]/12,0),"")</f>
        <v>20</v>
      </c>
      <c r="F244" s="71">
        <f t="shared" si="3"/>
        <v>51349</v>
      </c>
      <c r="G244" s="72" cm="1">
        <f t="array" ref="G244">IF(Kredyt1[[#This Row],[Data]]="","",WIBOR3M)</f>
        <v>0.02</v>
      </c>
      <c r="H244" s="72" cm="1">
        <f t="array" ref="H244">IF(Kredyt1[[#This Row],[Data]]="","",G244+MarżaBAnku)</f>
        <v>0.04</v>
      </c>
      <c r="I244" s="73">
        <f>IF(Kredyt1[[#This Row],[Data]]="","",Kredyt1[[#This Row],[Cała rata]]-Kredyt1[[#This Row],[Kapitał]])</f>
        <v>522.67235226503931</v>
      </c>
      <c r="J244" s="74" cm="1">
        <f t="array" ref="J244">IFERROR(-PPMT(Kredyt1[[#This Row],[Oprocentowanie]]/12,Kredyt1[[#This Row],[Miesiąc kredytu]],IlośćRat,KwotaKredytu),"")</f>
        <v>1033.3766346802724</v>
      </c>
      <c r="K244" s="75" cm="1">
        <f t="array" ref="K244">IF(Kredyt1[[#This Row],[Miesiąc kredytu]]="","",-PMT(Kredyt1[[#This Row],[Oprocentowanie]]/12,IlośćRat,KwotaKredytu))</f>
        <v>1556.0489869453118</v>
      </c>
      <c r="L244" s="75">
        <v>0</v>
      </c>
      <c r="M244" s="76">
        <f>IFERROR(M243-J244-Kredyt1[[#This Row],[Nadpłata]],"")</f>
        <v>155768.32904483154</v>
      </c>
    </row>
    <row r="245" spans="4:13">
      <c r="D245" s="70" cm="1">
        <f t="array" ref="D245">IF(ROW(240:240)&lt;=IlośćRat,ROW(240:240),"")</f>
        <v>240</v>
      </c>
      <c r="E245" s="70">
        <f>IFERROR(ROUNDUP(Kredyt1[[#This Row],[Miesiąc kredytu]]/12,0),"")</f>
        <v>20</v>
      </c>
      <c r="F245" s="71">
        <f t="shared" si="3"/>
        <v>51380</v>
      </c>
      <c r="G245" s="72" cm="1">
        <f t="array" ref="G245">IF(Kredyt1[[#This Row],[Data]]="","",WIBOR3M)</f>
        <v>0.02</v>
      </c>
      <c r="H245" s="72" cm="1">
        <f t="array" ref="H245">IF(Kredyt1[[#This Row],[Data]]="","",G245+MarżaBAnku)</f>
        <v>0.04</v>
      </c>
      <c r="I245" s="73">
        <f>IF(Kredyt1[[#This Row],[Data]]="","",Kredyt1[[#This Row],[Cała rata]]-Kredyt1[[#This Row],[Kapitał]])</f>
        <v>519.22776348277171</v>
      </c>
      <c r="J245" s="74" cm="1">
        <f t="array" ref="J245">IFERROR(-PPMT(Kredyt1[[#This Row],[Oprocentowanie]]/12,Kredyt1[[#This Row],[Miesiąc kredytu]],IlośćRat,KwotaKredytu),"")</f>
        <v>1036.82122346254</v>
      </c>
      <c r="K245" s="75" cm="1">
        <f t="array" ref="K245">IF(Kredyt1[[#This Row],[Miesiąc kredytu]]="","",-PMT(Kredyt1[[#This Row],[Oprocentowanie]]/12,IlośćRat,KwotaKredytu))</f>
        <v>1556.0489869453118</v>
      </c>
      <c r="L245" s="75">
        <v>0</v>
      </c>
      <c r="M245" s="76">
        <f>IFERROR(M244-J245-Kredyt1[[#This Row],[Nadpłata]],"")</f>
        <v>154731.50782136898</v>
      </c>
    </row>
    <row r="246" spans="4:13">
      <c r="D246" s="70" cm="1">
        <f t="array" ref="D246">IF(ROW(241:241)&lt;=IlośćRat,ROW(241:241),"")</f>
        <v>241</v>
      </c>
      <c r="E246" s="70">
        <f>IFERROR(ROUNDUP(Kredyt1[[#This Row],[Miesiąc kredytu]]/12,0),"")</f>
        <v>21</v>
      </c>
      <c r="F246" s="71">
        <f t="shared" si="3"/>
        <v>51410</v>
      </c>
      <c r="G246" s="72" cm="1">
        <f t="array" ref="G246">IF(Kredyt1[[#This Row],[Data]]="","",WIBOR3M)</f>
        <v>0.02</v>
      </c>
      <c r="H246" s="72" cm="1">
        <f t="array" ref="H246">IF(Kredyt1[[#This Row],[Data]]="","",G246+MarżaBAnku)</f>
        <v>0.04</v>
      </c>
      <c r="I246" s="73">
        <f>IF(Kredyt1[[#This Row],[Data]]="","",Kredyt1[[#This Row],[Cała rata]]-Kredyt1[[#This Row],[Kapitał]])</f>
        <v>515.7716927378965</v>
      </c>
      <c r="J246" s="74" cm="1">
        <f t="array" ref="J246">IFERROR(-PPMT(Kredyt1[[#This Row],[Oprocentowanie]]/12,Kredyt1[[#This Row],[Miesiąc kredytu]],IlośćRat,KwotaKredytu),"")</f>
        <v>1040.2772942074153</v>
      </c>
      <c r="K246" s="75" cm="1">
        <f t="array" ref="K246">IF(Kredyt1[[#This Row],[Miesiąc kredytu]]="","",-PMT(Kredyt1[[#This Row],[Oprocentowanie]]/12,IlośćRat,KwotaKredytu))</f>
        <v>1556.0489869453118</v>
      </c>
      <c r="L246" s="75">
        <v>0</v>
      </c>
      <c r="M246" s="76">
        <f>IFERROR(M245-J246-Kredyt1[[#This Row],[Nadpłata]],"")</f>
        <v>153691.23052716156</v>
      </c>
    </row>
    <row r="247" spans="4:13">
      <c r="D247" s="70" cm="1">
        <f t="array" ref="D247">IF(ROW(242:242)&lt;=IlośćRat,ROW(242:242),"")</f>
        <v>242</v>
      </c>
      <c r="E247" s="70">
        <f>IFERROR(ROUNDUP(Kredyt1[[#This Row],[Miesiąc kredytu]]/12,0),"")</f>
        <v>21</v>
      </c>
      <c r="F247" s="71">
        <f t="shared" si="3"/>
        <v>51441</v>
      </c>
      <c r="G247" s="72" cm="1">
        <f t="array" ref="G247">IF(Kredyt1[[#This Row],[Data]]="","",WIBOR3M)</f>
        <v>0.02</v>
      </c>
      <c r="H247" s="72" cm="1">
        <f t="array" ref="H247">IF(Kredyt1[[#This Row],[Data]]="","",G247+MarżaBAnku)</f>
        <v>0.04</v>
      </c>
      <c r="I247" s="73">
        <f>IF(Kredyt1[[#This Row],[Data]]="","",Kredyt1[[#This Row],[Cała rata]]-Kredyt1[[#This Row],[Kapitał]])</f>
        <v>512.30410175720522</v>
      </c>
      <c r="J247" s="74" cm="1">
        <f t="array" ref="J247">IFERROR(-PPMT(Kredyt1[[#This Row],[Oprocentowanie]]/12,Kredyt1[[#This Row],[Miesiąc kredytu]],IlośćRat,KwotaKredytu),"")</f>
        <v>1043.7448851881065</v>
      </c>
      <c r="K247" s="75" cm="1">
        <f t="array" ref="K247">IF(Kredyt1[[#This Row],[Miesiąc kredytu]]="","",-PMT(Kredyt1[[#This Row],[Oprocentowanie]]/12,IlośćRat,KwotaKredytu))</f>
        <v>1556.0489869453118</v>
      </c>
      <c r="L247" s="75">
        <v>0</v>
      </c>
      <c r="M247" s="76">
        <f>IFERROR(M246-J247-Kredyt1[[#This Row],[Nadpłata]],"")</f>
        <v>152647.48564197344</v>
      </c>
    </row>
    <row r="248" spans="4:13">
      <c r="D248" s="70" cm="1">
        <f t="array" ref="D248">IF(ROW(243:243)&lt;=IlośćRat,ROW(243:243),"")</f>
        <v>243</v>
      </c>
      <c r="E248" s="70">
        <f>IFERROR(ROUNDUP(Kredyt1[[#This Row],[Miesiąc kredytu]]/12,0),"")</f>
        <v>21</v>
      </c>
      <c r="F248" s="71">
        <f t="shared" si="3"/>
        <v>51471</v>
      </c>
      <c r="G248" s="72" cm="1">
        <f t="array" ref="G248">IF(Kredyt1[[#This Row],[Data]]="","",WIBOR3M)</f>
        <v>0.02</v>
      </c>
      <c r="H248" s="72" cm="1">
        <f t="array" ref="H248">IF(Kredyt1[[#This Row],[Data]]="","",G248+MarżaBAnku)</f>
        <v>0.04</v>
      </c>
      <c r="I248" s="73">
        <f>IF(Kredyt1[[#This Row],[Data]]="","",Kredyt1[[#This Row],[Cała rata]]-Kredyt1[[#This Row],[Kapitał]])</f>
        <v>508.82495213991137</v>
      </c>
      <c r="J248" s="74" cm="1">
        <f t="array" ref="J248">IFERROR(-PPMT(Kredyt1[[#This Row],[Oprocentowanie]]/12,Kredyt1[[#This Row],[Miesiąc kredytu]],IlośćRat,KwotaKredytu),"")</f>
        <v>1047.2240348054004</v>
      </c>
      <c r="K248" s="75" cm="1">
        <f t="array" ref="K248">IF(Kredyt1[[#This Row],[Miesiąc kredytu]]="","",-PMT(Kredyt1[[#This Row],[Oprocentowanie]]/12,IlośćRat,KwotaKredytu))</f>
        <v>1556.0489869453118</v>
      </c>
      <c r="L248" s="75">
        <v>0</v>
      </c>
      <c r="M248" s="76">
        <f>IFERROR(M247-J248-Kredyt1[[#This Row],[Nadpłata]],"")</f>
        <v>151600.26160716804</v>
      </c>
    </row>
    <row r="249" spans="4:13">
      <c r="D249" s="70" cm="1">
        <f t="array" ref="D249">IF(ROW(244:244)&lt;=IlośćRat,ROW(244:244),"")</f>
        <v>244</v>
      </c>
      <c r="E249" s="70">
        <f>IFERROR(ROUNDUP(Kredyt1[[#This Row],[Miesiąc kredytu]]/12,0),"")</f>
        <v>21</v>
      </c>
      <c r="F249" s="71">
        <f t="shared" si="3"/>
        <v>51502</v>
      </c>
      <c r="G249" s="72" cm="1">
        <f t="array" ref="G249">IF(Kredyt1[[#This Row],[Data]]="","",WIBOR3M)</f>
        <v>0.02</v>
      </c>
      <c r="H249" s="72" cm="1">
        <f t="array" ref="H249">IF(Kredyt1[[#This Row],[Data]]="","",G249+MarżaBAnku)</f>
        <v>0.04</v>
      </c>
      <c r="I249" s="73">
        <f>IF(Kredyt1[[#This Row],[Data]]="","",Kredyt1[[#This Row],[Cała rata]]-Kredyt1[[#This Row],[Kapitał]])</f>
        <v>505.33420535722689</v>
      </c>
      <c r="J249" s="74" cm="1">
        <f t="array" ref="J249">IFERROR(-PPMT(Kredyt1[[#This Row],[Oprocentowanie]]/12,Kredyt1[[#This Row],[Miesiąc kredytu]],IlośćRat,KwotaKredytu),"")</f>
        <v>1050.7147815880849</v>
      </c>
      <c r="K249" s="75" cm="1">
        <f t="array" ref="K249">IF(Kredyt1[[#This Row],[Miesiąc kredytu]]="","",-PMT(Kredyt1[[#This Row],[Oprocentowanie]]/12,IlośćRat,KwotaKredytu))</f>
        <v>1556.0489869453118</v>
      </c>
      <c r="L249" s="75">
        <v>0</v>
      </c>
      <c r="M249" s="76">
        <f>IFERROR(M248-J249-Kredyt1[[#This Row],[Nadpłata]],"")</f>
        <v>150549.54682557995</v>
      </c>
    </row>
    <row r="250" spans="4:13">
      <c r="D250" s="70" cm="1">
        <f t="array" ref="D250">IF(ROW(245:245)&lt;=IlośćRat,ROW(245:245),"")</f>
        <v>245</v>
      </c>
      <c r="E250" s="70">
        <f>IFERROR(ROUNDUP(Kredyt1[[#This Row],[Miesiąc kredytu]]/12,0),"")</f>
        <v>21</v>
      </c>
      <c r="F250" s="71">
        <f t="shared" si="3"/>
        <v>51533</v>
      </c>
      <c r="G250" s="72" cm="1">
        <f t="array" ref="G250">IF(Kredyt1[[#This Row],[Data]]="","",WIBOR3M)</f>
        <v>0.02</v>
      </c>
      <c r="H250" s="72" cm="1">
        <f t="array" ref="H250">IF(Kredyt1[[#This Row],[Data]]="","",G250+MarżaBAnku)</f>
        <v>0.04</v>
      </c>
      <c r="I250" s="73">
        <f>IF(Kredyt1[[#This Row],[Data]]="","",Kredyt1[[#This Row],[Cała rata]]-Kredyt1[[#This Row],[Kapitał]])</f>
        <v>501.83182275193303</v>
      </c>
      <c r="J250" s="74" cm="1">
        <f t="array" ref="J250">IFERROR(-PPMT(Kredyt1[[#This Row],[Oprocentowanie]]/12,Kredyt1[[#This Row],[Miesiąc kredytu]],IlośćRat,KwotaKredytu),"")</f>
        <v>1054.2171641933787</v>
      </c>
      <c r="K250" s="75" cm="1">
        <f t="array" ref="K250">IF(Kredyt1[[#This Row],[Miesiąc kredytu]]="","",-PMT(Kredyt1[[#This Row],[Oprocentowanie]]/12,IlośćRat,KwotaKredytu))</f>
        <v>1556.0489869453118</v>
      </c>
      <c r="L250" s="75">
        <v>0</v>
      </c>
      <c r="M250" s="76">
        <f>IFERROR(M249-J250-Kredyt1[[#This Row],[Nadpłata]],"")</f>
        <v>149495.32966138658</v>
      </c>
    </row>
    <row r="251" spans="4:13">
      <c r="D251" s="70" cm="1">
        <f t="array" ref="D251">IF(ROW(246:246)&lt;=IlośćRat,ROW(246:246),"")</f>
        <v>246</v>
      </c>
      <c r="E251" s="70">
        <f>IFERROR(ROUNDUP(Kredyt1[[#This Row],[Miesiąc kredytu]]/12,0),"")</f>
        <v>21</v>
      </c>
      <c r="F251" s="71">
        <f t="shared" si="3"/>
        <v>51561</v>
      </c>
      <c r="G251" s="72" cm="1">
        <f t="array" ref="G251">IF(Kredyt1[[#This Row],[Data]]="","",WIBOR3M)</f>
        <v>0.02</v>
      </c>
      <c r="H251" s="72" cm="1">
        <f t="array" ref="H251">IF(Kredyt1[[#This Row],[Data]]="","",G251+MarżaBAnku)</f>
        <v>0.04</v>
      </c>
      <c r="I251" s="73">
        <f>IF(Kredyt1[[#This Row],[Data]]="","",Kredyt1[[#This Row],[Cała rata]]-Kredyt1[[#This Row],[Kapitał]])</f>
        <v>498.31776553795498</v>
      </c>
      <c r="J251" s="74" cm="1">
        <f t="array" ref="J251">IFERROR(-PPMT(Kredyt1[[#This Row],[Oprocentowanie]]/12,Kredyt1[[#This Row],[Miesiąc kredytu]],IlośćRat,KwotaKredytu),"")</f>
        <v>1057.7312214073568</v>
      </c>
      <c r="K251" s="75" cm="1">
        <f t="array" ref="K251">IF(Kredyt1[[#This Row],[Miesiąc kredytu]]="","",-PMT(Kredyt1[[#This Row],[Oprocentowanie]]/12,IlośćRat,KwotaKredytu))</f>
        <v>1556.0489869453118</v>
      </c>
      <c r="L251" s="75">
        <v>0</v>
      </c>
      <c r="M251" s="76">
        <f>IFERROR(M250-J251-Kredyt1[[#This Row],[Nadpłata]],"")</f>
        <v>148437.59843997922</v>
      </c>
    </row>
    <row r="252" spans="4:13">
      <c r="D252" s="70" cm="1">
        <f t="array" ref="D252">IF(ROW(247:247)&lt;=IlośćRat,ROW(247:247),"")</f>
        <v>247</v>
      </c>
      <c r="E252" s="70">
        <f>IFERROR(ROUNDUP(Kredyt1[[#This Row],[Miesiąc kredytu]]/12,0),"")</f>
        <v>21</v>
      </c>
      <c r="F252" s="71">
        <f t="shared" si="3"/>
        <v>51592</v>
      </c>
      <c r="G252" s="72" cm="1">
        <f t="array" ref="G252">IF(Kredyt1[[#This Row],[Data]]="","",WIBOR3M)</f>
        <v>0.02</v>
      </c>
      <c r="H252" s="72" cm="1">
        <f t="array" ref="H252">IF(Kredyt1[[#This Row],[Data]]="","",G252+MarżaBAnku)</f>
        <v>0.04</v>
      </c>
      <c r="I252" s="73">
        <f>IF(Kredyt1[[#This Row],[Data]]="","",Kredyt1[[#This Row],[Cała rata]]-Kredyt1[[#This Row],[Kapitał]])</f>
        <v>494.79199479993054</v>
      </c>
      <c r="J252" s="74" cm="1">
        <f t="array" ref="J252">IFERROR(-PPMT(Kredyt1[[#This Row],[Oprocentowanie]]/12,Kredyt1[[#This Row],[Miesiąc kredytu]],IlośćRat,KwotaKredytu),"")</f>
        <v>1061.2569921453812</v>
      </c>
      <c r="K252" s="75" cm="1">
        <f t="array" ref="K252">IF(Kredyt1[[#This Row],[Miesiąc kredytu]]="","",-PMT(Kredyt1[[#This Row],[Oprocentowanie]]/12,IlośćRat,KwotaKredytu))</f>
        <v>1556.0489869453118</v>
      </c>
      <c r="L252" s="75">
        <v>0</v>
      </c>
      <c r="M252" s="76">
        <f>IFERROR(M251-J252-Kredyt1[[#This Row],[Nadpłata]],"")</f>
        <v>147376.34144783384</v>
      </c>
    </row>
    <row r="253" spans="4:13">
      <c r="D253" s="70" cm="1">
        <f t="array" ref="D253">IF(ROW(248:248)&lt;=IlośćRat,ROW(248:248),"")</f>
        <v>248</v>
      </c>
      <c r="E253" s="70">
        <f>IFERROR(ROUNDUP(Kredyt1[[#This Row],[Miesiąc kredytu]]/12,0),"")</f>
        <v>21</v>
      </c>
      <c r="F253" s="71">
        <f t="shared" si="3"/>
        <v>51622</v>
      </c>
      <c r="G253" s="72" cm="1">
        <f t="array" ref="G253">IF(Kredyt1[[#This Row],[Data]]="","",WIBOR3M)</f>
        <v>0.02</v>
      </c>
      <c r="H253" s="72" cm="1">
        <f t="array" ref="H253">IF(Kredyt1[[#This Row],[Data]]="","",G253+MarżaBAnku)</f>
        <v>0.04</v>
      </c>
      <c r="I253" s="73">
        <f>IF(Kredyt1[[#This Row],[Data]]="","",Kredyt1[[#This Row],[Cała rata]]-Kredyt1[[#This Row],[Kapitał]])</f>
        <v>491.2544714927792</v>
      </c>
      <c r="J253" s="74" cm="1">
        <f t="array" ref="J253">IFERROR(-PPMT(Kredyt1[[#This Row],[Oprocentowanie]]/12,Kredyt1[[#This Row],[Miesiąc kredytu]],IlośćRat,KwotaKredytu),"")</f>
        <v>1064.7945154525326</v>
      </c>
      <c r="K253" s="75" cm="1">
        <f t="array" ref="K253">IF(Kredyt1[[#This Row],[Miesiąc kredytu]]="","",-PMT(Kredyt1[[#This Row],[Oprocentowanie]]/12,IlośćRat,KwotaKredytu))</f>
        <v>1556.0489869453118</v>
      </c>
      <c r="L253" s="75">
        <v>0</v>
      </c>
      <c r="M253" s="76">
        <f>IFERROR(M252-J253-Kredyt1[[#This Row],[Nadpłata]],"")</f>
        <v>146311.54693238132</v>
      </c>
    </row>
    <row r="254" spans="4:13">
      <c r="D254" s="70" cm="1">
        <f t="array" ref="D254">IF(ROW(249:249)&lt;=IlośćRat,ROW(249:249),"")</f>
        <v>249</v>
      </c>
      <c r="E254" s="70">
        <f>IFERROR(ROUNDUP(Kredyt1[[#This Row],[Miesiąc kredytu]]/12,0),"")</f>
        <v>21</v>
      </c>
      <c r="F254" s="71">
        <f t="shared" si="3"/>
        <v>51653</v>
      </c>
      <c r="G254" s="72" cm="1">
        <f t="array" ref="G254">IF(Kredyt1[[#This Row],[Data]]="","",WIBOR3M)</f>
        <v>0.02</v>
      </c>
      <c r="H254" s="72" cm="1">
        <f t="array" ref="H254">IF(Kredyt1[[#This Row],[Data]]="","",G254+MarżaBAnku)</f>
        <v>0.04</v>
      </c>
      <c r="I254" s="73">
        <f>IF(Kredyt1[[#This Row],[Data]]="","",Kredyt1[[#This Row],[Cała rata]]-Kredyt1[[#This Row],[Kapitał]])</f>
        <v>487.7051564412709</v>
      </c>
      <c r="J254" s="74" cm="1">
        <f t="array" ref="J254">IFERROR(-PPMT(Kredyt1[[#This Row],[Oprocentowanie]]/12,Kredyt1[[#This Row],[Miesiąc kredytu]],IlośćRat,KwotaKredytu),"")</f>
        <v>1068.3438305040409</v>
      </c>
      <c r="K254" s="75" cm="1">
        <f t="array" ref="K254">IF(Kredyt1[[#This Row],[Miesiąc kredytu]]="","",-PMT(Kredyt1[[#This Row],[Oprocentowanie]]/12,IlośćRat,KwotaKredytu))</f>
        <v>1556.0489869453118</v>
      </c>
      <c r="L254" s="75">
        <v>0</v>
      </c>
      <c r="M254" s="76">
        <f>IFERROR(M253-J254-Kredyt1[[#This Row],[Nadpłata]],"")</f>
        <v>145243.20310187727</v>
      </c>
    </row>
    <row r="255" spans="4:13">
      <c r="D255" s="70" cm="1">
        <f t="array" ref="D255">IF(ROW(250:250)&lt;=IlośćRat,ROW(250:250),"")</f>
        <v>250</v>
      </c>
      <c r="E255" s="70">
        <f>IFERROR(ROUNDUP(Kredyt1[[#This Row],[Miesiąc kredytu]]/12,0),"")</f>
        <v>21</v>
      </c>
      <c r="F255" s="71">
        <f t="shared" si="3"/>
        <v>51683</v>
      </c>
      <c r="G255" s="72" cm="1">
        <f t="array" ref="G255">IF(Kredyt1[[#This Row],[Data]]="","",WIBOR3M)</f>
        <v>0.02</v>
      </c>
      <c r="H255" s="72" cm="1">
        <f t="array" ref="H255">IF(Kredyt1[[#This Row],[Data]]="","",G255+MarżaBAnku)</f>
        <v>0.04</v>
      </c>
      <c r="I255" s="73">
        <f>IF(Kredyt1[[#This Row],[Data]]="","",Kredyt1[[#This Row],[Cała rata]]-Kredyt1[[#This Row],[Kapitał]])</f>
        <v>484.14401033959075</v>
      </c>
      <c r="J255" s="74" cm="1">
        <f t="array" ref="J255">IFERROR(-PPMT(Kredyt1[[#This Row],[Oprocentowanie]]/12,Kredyt1[[#This Row],[Miesiąc kredytu]],IlośćRat,KwotaKredytu),"")</f>
        <v>1071.904976605721</v>
      </c>
      <c r="K255" s="75" cm="1">
        <f t="array" ref="K255">IF(Kredyt1[[#This Row],[Miesiąc kredytu]]="","",-PMT(Kredyt1[[#This Row],[Oprocentowanie]]/12,IlośćRat,KwotaKredytu))</f>
        <v>1556.0489869453118</v>
      </c>
      <c r="L255" s="75">
        <v>0</v>
      </c>
      <c r="M255" s="76">
        <f>IFERROR(M254-J255-Kredyt1[[#This Row],[Nadpłata]],"")</f>
        <v>144171.29812527154</v>
      </c>
    </row>
    <row r="256" spans="4:13">
      <c r="D256" s="70" cm="1">
        <f t="array" ref="D256">IF(ROW(251:251)&lt;=IlośćRat,ROW(251:251),"")</f>
        <v>251</v>
      </c>
      <c r="E256" s="70">
        <f>IFERROR(ROUNDUP(Kredyt1[[#This Row],[Miesiąc kredytu]]/12,0),"")</f>
        <v>21</v>
      </c>
      <c r="F256" s="71">
        <f t="shared" si="3"/>
        <v>51714</v>
      </c>
      <c r="G256" s="72" cm="1">
        <f t="array" ref="G256">IF(Kredyt1[[#This Row],[Data]]="","",WIBOR3M)</f>
        <v>0.02</v>
      </c>
      <c r="H256" s="72" cm="1">
        <f t="array" ref="H256">IF(Kredyt1[[#This Row],[Data]]="","",G256+MarżaBAnku)</f>
        <v>0.04</v>
      </c>
      <c r="I256" s="73">
        <f>IF(Kredyt1[[#This Row],[Data]]="","",Kredyt1[[#This Row],[Cała rata]]-Kredyt1[[#This Row],[Kapitał]])</f>
        <v>480.57099375090525</v>
      </c>
      <c r="J256" s="74" cm="1">
        <f t="array" ref="J256">IFERROR(-PPMT(Kredyt1[[#This Row],[Oprocentowanie]]/12,Kredyt1[[#This Row],[Miesiąc kredytu]],IlośćRat,KwotaKredytu),"")</f>
        <v>1075.4779931944065</v>
      </c>
      <c r="K256" s="75" cm="1">
        <f t="array" ref="K256">IF(Kredyt1[[#This Row],[Miesiąc kredytu]]="","",-PMT(Kredyt1[[#This Row],[Oprocentowanie]]/12,IlośćRat,KwotaKredytu))</f>
        <v>1556.0489869453118</v>
      </c>
      <c r="L256" s="75">
        <v>0</v>
      </c>
      <c r="M256" s="76">
        <f>IFERROR(M255-J256-Kredyt1[[#This Row],[Nadpłata]],"")</f>
        <v>143095.82013207715</v>
      </c>
    </row>
    <row r="257" spans="4:13">
      <c r="D257" s="70" cm="1">
        <f t="array" ref="D257">IF(ROW(252:252)&lt;=IlośćRat,ROW(252:252),"")</f>
        <v>252</v>
      </c>
      <c r="E257" s="70">
        <f>IFERROR(ROUNDUP(Kredyt1[[#This Row],[Miesiąc kredytu]]/12,0),"")</f>
        <v>21</v>
      </c>
      <c r="F257" s="71">
        <f t="shared" si="3"/>
        <v>51745</v>
      </c>
      <c r="G257" s="72" cm="1">
        <f t="array" ref="G257">IF(Kredyt1[[#This Row],[Data]]="","",WIBOR3M)</f>
        <v>0.02</v>
      </c>
      <c r="H257" s="72" cm="1">
        <f t="array" ref="H257">IF(Kredyt1[[#This Row],[Data]]="","",G257+MarżaBAnku)</f>
        <v>0.04</v>
      </c>
      <c r="I257" s="73">
        <f>IF(Kredyt1[[#This Row],[Data]]="","",Kredyt1[[#This Row],[Cała rata]]-Kredyt1[[#This Row],[Kapitał]])</f>
        <v>476.98606710692366</v>
      </c>
      <c r="J257" s="74" cm="1">
        <f t="array" ref="J257">IFERROR(-PPMT(Kredyt1[[#This Row],[Oprocentowanie]]/12,Kredyt1[[#This Row],[Miesiąc kredytu]],IlośćRat,KwotaKredytu),"")</f>
        <v>1079.0629198383881</v>
      </c>
      <c r="K257" s="75" cm="1">
        <f t="array" ref="K257">IF(Kredyt1[[#This Row],[Miesiąc kredytu]]="","",-PMT(Kredyt1[[#This Row],[Oprocentowanie]]/12,IlośćRat,KwotaKredytu))</f>
        <v>1556.0489869453118</v>
      </c>
      <c r="L257" s="75">
        <v>0</v>
      </c>
      <c r="M257" s="76">
        <f>IFERROR(M256-J257-Kredyt1[[#This Row],[Nadpłata]],"")</f>
        <v>142016.75721223876</v>
      </c>
    </row>
    <row r="258" spans="4:13">
      <c r="D258" s="70" cm="1">
        <f t="array" ref="D258">IF(ROW(253:253)&lt;=IlośćRat,ROW(253:253),"")</f>
        <v>253</v>
      </c>
      <c r="E258" s="70">
        <f>IFERROR(ROUNDUP(Kredyt1[[#This Row],[Miesiąc kredytu]]/12,0),"")</f>
        <v>22</v>
      </c>
      <c r="F258" s="71">
        <f t="shared" si="3"/>
        <v>51775</v>
      </c>
      <c r="G258" s="72" cm="1">
        <f t="array" ref="G258">IF(Kredyt1[[#This Row],[Data]]="","",WIBOR3M)</f>
        <v>0.02</v>
      </c>
      <c r="H258" s="72" cm="1">
        <f t="array" ref="H258">IF(Kredyt1[[#This Row],[Data]]="","",G258+MarżaBAnku)</f>
        <v>0.04</v>
      </c>
      <c r="I258" s="73">
        <f>IF(Kredyt1[[#This Row],[Data]]="","",Kredyt1[[#This Row],[Cała rata]]-Kredyt1[[#This Row],[Kapitał]])</f>
        <v>473.38919070746238</v>
      </c>
      <c r="J258" s="74" cm="1">
        <f t="array" ref="J258">IFERROR(-PPMT(Kredyt1[[#This Row],[Oprocentowanie]]/12,Kredyt1[[#This Row],[Miesiąc kredytu]],IlośćRat,KwotaKredytu),"")</f>
        <v>1082.6597962378494</v>
      </c>
      <c r="K258" s="75" cm="1">
        <f t="array" ref="K258">IF(Kredyt1[[#This Row],[Miesiąc kredytu]]="","",-PMT(Kredyt1[[#This Row],[Oprocentowanie]]/12,IlośćRat,KwotaKredytu))</f>
        <v>1556.0489869453118</v>
      </c>
      <c r="L258" s="75">
        <v>0</v>
      </c>
      <c r="M258" s="76">
        <f>IFERROR(M257-J258-Kredyt1[[#This Row],[Nadpłata]],"")</f>
        <v>140934.09741600091</v>
      </c>
    </row>
    <row r="259" spans="4:13">
      <c r="D259" s="70" cm="1">
        <f t="array" ref="D259">IF(ROW(254:254)&lt;=IlośćRat,ROW(254:254),"")</f>
        <v>254</v>
      </c>
      <c r="E259" s="70">
        <f>IFERROR(ROUNDUP(Kredyt1[[#This Row],[Miesiąc kredytu]]/12,0),"")</f>
        <v>22</v>
      </c>
      <c r="F259" s="71">
        <f t="shared" si="3"/>
        <v>51806</v>
      </c>
      <c r="G259" s="72" cm="1">
        <f t="array" ref="G259">IF(Kredyt1[[#This Row],[Data]]="","",WIBOR3M)</f>
        <v>0.02</v>
      </c>
      <c r="H259" s="72" cm="1">
        <f t="array" ref="H259">IF(Kredyt1[[#This Row],[Data]]="","",G259+MarżaBAnku)</f>
        <v>0.04</v>
      </c>
      <c r="I259" s="73">
        <f>IF(Kredyt1[[#This Row],[Data]]="","",Kredyt1[[#This Row],[Cała rata]]-Kredyt1[[#This Row],[Kapitał]])</f>
        <v>469.78032472000291</v>
      </c>
      <c r="J259" s="74" cm="1">
        <f t="array" ref="J259">IFERROR(-PPMT(Kredyt1[[#This Row],[Oprocentowanie]]/12,Kredyt1[[#This Row],[Miesiąc kredytu]],IlośćRat,KwotaKredytu),"")</f>
        <v>1086.2686622253088</v>
      </c>
      <c r="K259" s="75" cm="1">
        <f t="array" ref="K259">IF(Kredyt1[[#This Row],[Miesiąc kredytu]]="","",-PMT(Kredyt1[[#This Row],[Oprocentowanie]]/12,IlośćRat,KwotaKredytu))</f>
        <v>1556.0489869453118</v>
      </c>
      <c r="L259" s="75">
        <v>0</v>
      </c>
      <c r="M259" s="76">
        <f>IFERROR(M258-J259-Kredyt1[[#This Row],[Nadpłata]],"")</f>
        <v>139847.8287537756</v>
      </c>
    </row>
    <row r="260" spans="4:13">
      <c r="D260" s="70" cm="1">
        <f t="array" ref="D260">IF(ROW(255:255)&lt;=IlośćRat,ROW(255:255),"")</f>
        <v>255</v>
      </c>
      <c r="E260" s="70">
        <f>IFERROR(ROUNDUP(Kredyt1[[#This Row],[Miesiąc kredytu]]/12,0),"")</f>
        <v>22</v>
      </c>
      <c r="F260" s="71">
        <f t="shared" si="3"/>
        <v>51836</v>
      </c>
      <c r="G260" s="72" cm="1">
        <f t="array" ref="G260">IF(Kredyt1[[#This Row],[Data]]="","",WIBOR3M)</f>
        <v>0.02</v>
      </c>
      <c r="H260" s="72" cm="1">
        <f t="array" ref="H260">IF(Kredyt1[[#This Row],[Data]]="","",G260+MarżaBAnku)</f>
        <v>0.04</v>
      </c>
      <c r="I260" s="73">
        <f>IF(Kredyt1[[#This Row],[Data]]="","",Kredyt1[[#This Row],[Cała rata]]-Kredyt1[[#This Row],[Kapitał]])</f>
        <v>466.1594291792519</v>
      </c>
      <c r="J260" s="74" cm="1">
        <f t="array" ref="J260">IFERROR(-PPMT(Kredyt1[[#This Row],[Oprocentowanie]]/12,Kredyt1[[#This Row],[Miesiąc kredytu]],IlośćRat,KwotaKredytu),"")</f>
        <v>1089.8895577660599</v>
      </c>
      <c r="K260" s="75" cm="1">
        <f t="array" ref="K260">IF(Kredyt1[[#This Row],[Miesiąc kredytu]]="","",-PMT(Kredyt1[[#This Row],[Oprocentowanie]]/12,IlośćRat,KwotaKredytu))</f>
        <v>1556.0489869453118</v>
      </c>
      <c r="L260" s="75">
        <v>0</v>
      </c>
      <c r="M260" s="76">
        <f>IFERROR(M259-J260-Kredyt1[[#This Row],[Nadpłata]],"")</f>
        <v>138757.93919600954</v>
      </c>
    </row>
    <row r="261" spans="4:13">
      <c r="D261" s="70" cm="1">
        <f t="array" ref="D261">IF(ROW(256:256)&lt;=IlośćRat,ROW(256:256),"")</f>
        <v>256</v>
      </c>
      <c r="E261" s="70">
        <f>IFERROR(ROUNDUP(Kredyt1[[#This Row],[Miesiąc kredytu]]/12,0),"")</f>
        <v>22</v>
      </c>
      <c r="F261" s="71">
        <f t="shared" si="3"/>
        <v>51867</v>
      </c>
      <c r="G261" s="72" cm="1">
        <f t="array" ref="G261">IF(Kredyt1[[#This Row],[Data]]="","",WIBOR3M)</f>
        <v>0.02</v>
      </c>
      <c r="H261" s="72" cm="1">
        <f t="array" ref="H261">IF(Kredyt1[[#This Row],[Data]]="","",G261+MarżaBAnku)</f>
        <v>0.04</v>
      </c>
      <c r="I261" s="73">
        <f>IF(Kredyt1[[#This Row],[Data]]="","",Kredyt1[[#This Row],[Cała rata]]-Kredyt1[[#This Row],[Kapitał]])</f>
        <v>462.52646398669845</v>
      </c>
      <c r="J261" s="74" cm="1">
        <f t="array" ref="J261">IFERROR(-PPMT(Kredyt1[[#This Row],[Oprocentowanie]]/12,Kredyt1[[#This Row],[Miesiąc kredytu]],IlośćRat,KwotaKredytu),"")</f>
        <v>1093.5225229586133</v>
      </c>
      <c r="K261" s="75" cm="1">
        <f t="array" ref="K261">IF(Kredyt1[[#This Row],[Miesiąc kredytu]]="","",-PMT(Kredyt1[[#This Row],[Oprocentowanie]]/12,IlośćRat,KwotaKredytu))</f>
        <v>1556.0489869453118</v>
      </c>
      <c r="L261" s="75">
        <v>0</v>
      </c>
      <c r="M261" s="76">
        <f>IFERROR(M260-J261-Kredyt1[[#This Row],[Nadpłata]],"")</f>
        <v>137664.41667305093</v>
      </c>
    </row>
    <row r="262" spans="4:13">
      <c r="D262" s="70" cm="1">
        <f t="array" ref="D262">IF(ROW(257:257)&lt;=IlośćRat,ROW(257:257),"")</f>
        <v>257</v>
      </c>
      <c r="E262" s="70">
        <f>IFERROR(ROUNDUP(Kredyt1[[#This Row],[Miesiąc kredytu]]/12,0),"")</f>
        <v>22</v>
      </c>
      <c r="F262" s="71">
        <f t="shared" ref="F262:F325" si="4">IFERROR(EDATE($B$6,D262-1),"")</f>
        <v>51898</v>
      </c>
      <c r="G262" s="72" cm="1">
        <f t="array" ref="G262">IF(Kredyt1[[#This Row],[Data]]="","",WIBOR3M)</f>
        <v>0.02</v>
      </c>
      <c r="H262" s="72" cm="1">
        <f t="array" ref="H262">IF(Kredyt1[[#This Row],[Data]]="","",G262+MarżaBAnku)</f>
        <v>0.04</v>
      </c>
      <c r="I262" s="73">
        <f>IF(Kredyt1[[#This Row],[Data]]="","",Kredyt1[[#This Row],[Cała rata]]-Kredyt1[[#This Row],[Kapitał]])</f>
        <v>458.88138891016956</v>
      </c>
      <c r="J262" s="74" cm="1">
        <f t="array" ref="J262">IFERROR(-PPMT(Kredyt1[[#This Row],[Oprocentowanie]]/12,Kredyt1[[#This Row],[Miesiąc kredytu]],IlośćRat,KwotaKredytu),"")</f>
        <v>1097.1675980351422</v>
      </c>
      <c r="K262" s="75" cm="1">
        <f t="array" ref="K262">IF(Kredyt1[[#This Row],[Miesiąc kredytu]]="","",-PMT(Kredyt1[[#This Row],[Oprocentowanie]]/12,IlośćRat,KwotaKredytu))</f>
        <v>1556.0489869453118</v>
      </c>
      <c r="L262" s="75">
        <v>0</v>
      </c>
      <c r="M262" s="76">
        <f>IFERROR(M261-J262-Kredyt1[[#This Row],[Nadpłata]],"")</f>
        <v>136567.2490750158</v>
      </c>
    </row>
    <row r="263" spans="4:13">
      <c r="D263" s="70" cm="1">
        <f t="array" ref="D263">IF(ROW(258:258)&lt;=IlośćRat,ROW(258:258),"")</f>
        <v>258</v>
      </c>
      <c r="E263" s="70">
        <f>IFERROR(ROUNDUP(Kredyt1[[#This Row],[Miesiąc kredytu]]/12,0),"")</f>
        <v>22</v>
      </c>
      <c r="F263" s="71">
        <f t="shared" si="4"/>
        <v>51926</v>
      </c>
      <c r="G263" s="72" cm="1">
        <f t="array" ref="G263">IF(Kredyt1[[#This Row],[Data]]="","",WIBOR3M)</f>
        <v>0.02</v>
      </c>
      <c r="H263" s="72" cm="1">
        <f t="array" ref="H263">IF(Kredyt1[[#This Row],[Data]]="","",G263+MarżaBAnku)</f>
        <v>0.04</v>
      </c>
      <c r="I263" s="73">
        <f>IF(Kredyt1[[#This Row],[Data]]="","",Kredyt1[[#This Row],[Cała rata]]-Kredyt1[[#This Row],[Kapitał]])</f>
        <v>455.22416358338592</v>
      </c>
      <c r="J263" s="74" cm="1">
        <f t="array" ref="J263">IFERROR(-PPMT(Kredyt1[[#This Row],[Oprocentowanie]]/12,Kredyt1[[#This Row],[Miesiąc kredytu]],IlośćRat,KwotaKredytu),"")</f>
        <v>1100.8248233619258</v>
      </c>
      <c r="K263" s="75" cm="1">
        <f t="array" ref="K263">IF(Kredyt1[[#This Row],[Miesiąc kredytu]]="","",-PMT(Kredyt1[[#This Row],[Oprocentowanie]]/12,IlośćRat,KwotaKredytu))</f>
        <v>1556.0489869453118</v>
      </c>
      <c r="L263" s="75">
        <v>0</v>
      </c>
      <c r="M263" s="76">
        <f>IFERROR(M262-J263-Kredyt1[[#This Row],[Nadpłata]],"")</f>
        <v>135466.42425165387</v>
      </c>
    </row>
    <row r="264" spans="4:13">
      <c r="D264" s="70" cm="1">
        <f t="array" ref="D264">IF(ROW(259:259)&lt;=IlośćRat,ROW(259:259),"")</f>
        <v>259</v>
      </c>
      <c r="E264" s="70">
        <f>IFERROR(ROUNDUP(Kredyt1[[#This Row],[Miesiąc kredytu]]/12,0),"")</f>
        <v>22</v>
      </c>
      <c r="F264" s="71">
        <f t="shared" si="4"/>
        <v>51957</v>
      </c>
      <c r="G264" s="72" cm="1">
        <f t="array" ref="G264">IF(Kredyt1[[#This Row],[Data]]="","",WIBOR3M)</f>
        <v>0.02</v>
      </c>
      <c r="H264" s="72" cm="1">
        <f t="array" ref="H264">IF(Kredyt1[[#This Row],[Data]]="","",G264+MarżaBAnku)</f>
        <v>0.04</v>
      </c>
      <c r="I264" s="73">
        <f>IF(Kredyt1[[#This Row],[Data]]="","",Kredyt1[[#This Row],[Cała rata]]-Kredyt1[[#This Row],[Kapitał]])</f>
        <v>451.55474750551298</v>
      </c>
      <c r="J264" s="74" cm="1">
        <f t="array" ref="J264">IFERROR(-PPMT(Kredyt1[[#This Row],[Oprocentowanie]]/12,Kredyt1[[#This Row],[Miesiąc kredytu]],IlośćRat,KwotaKredytu),"")</f>
        <v>1104.4942394397988</v>
      </c>
      <c r="K264" s="75" cm="1">
        <f t="array" ref="K264">IF(Kredyt1[[#This Row],[Miesiąc kredytu]]="","",-PMT(Kredyt1[[#This Row],[Oprocentowanie]]/12,IlośćRat,KwotaKredytu))</f>
        <v>1556.0489869453118</v>
      </c>
      <c r="L264" s="75">
        <v>0</v>
      </c>
      <c r="M264" s="76">
        <f>IFERROR(M263-J264-Kredyt1[[#This Row],[Nadpłata]],"")</f>
        <v>134361.93001221406</v>
      </c>
    </row>
    <row r="265" spans="4:13">
      <c r="D265" s="70" cm="1">
        <f t="array" ref="D265">IF(ROW(260:260)&lt;=IlośćRat,ROW(260:260),"")</f>
        <v>260</v>
      </c>
      <c r="E265" s="70">
        <f>IFERROR(ROUNDUP(Kredyt1[[#This Row],[Miesiąc kredytu]]/12,0),"")</f>
        <v>22</v>
      </c>
      <c r="F265" s="71">
        <f t="shared" si="4"/>
        <v>51987</v>
      </c>
      <c r="G265" s="72" cm="1">
        <f t="array" ref="G265">IF(Kredyt1[[#This Row],[Data]]="","",WIBOR3M)</f>
        <v>0.02</v>
      </c>
      <c r="H265" s="72" cm="1">
        <f t="array" ref="H265">IF(Kredyt1[[#This Row],[Data]]="","",G265+MarżaBAnku)</f>
        <v>0.04</v>
      </c>
      <c r="I265" s="73">
        <f>IF(Kredyt1[[#This Row],[Data]]="","",Kredyt1[[#This Row],[Cała rata]]-Kredyt1[[#This Row],[Kapitał]])</f>
        <v>447.87310004071333</v>
      </c>
      <c r="J265" s="74" cm="1">
        <f t="array" ref="J265">IFERROR(-PPMT(Kredyt1[[#This Row],[Oprocentowanie]]/12,Kredyt1[[#This Row],[Miesiąc kredytu]],IlośćRat,KwotaKredytu),"")</f>
        <v>1108.1758869045984</v>
      </c>
      <c r="K265" s="75" cm="1">
        <f t="array" ref="K265">IF(Kredyt1[[#This Row],[Miesiąc kredytu]]="","",-PMT(Kredyt1[[#This Row],[Oprocentowanie]]/12,IlośćRat,KwotaKredytu))</f>
        <v>1556.0489869453118</v>
      </c>
      <c r="L265" s="75">
        <v>0</v>
      </c>
      <c r="M265" s="76">
        <f>IFERROR(M264-J265-Kredyt1[[#This Row],[Nadpłata]],"")</f>
        <v>133253.75412530947</v>
      </c>
    </row>
    <row r="266" spans="4:13">
      <c r="D266" s="70" cm="1">
        <f t="array" ref="D266">IF(ROW(261:261)&lt;=IlośćRat,ROW(261:261),"")</f>
        <v>261</v>
      </c>
      <c r="E266" s="70">
        <f>IFERROR(ROUNDUP(Kredyt1[[#This Row],[Miesiąc kredytu]]/12,0),"")</f>
        <v>22</v>
      </c>
      <c r="F266" s="71">
        <f t="shared" si="4"/>
        <v>52018</v>
      </c>
      <c r="G266" s="72" cm="1">
        <f t="array" ref="G266">IF(Kredyt1[[#This Row],[Data]]="","",WIBOR3M)</f>
        <v>0.02</v>
      </c>
      <c r="H266" s="72" cm="1">
        <f t="array" ref="H266">IF(Kredyt1[[#This Row],[Data]]="","",G266+MarżaBAnku)</f>
        <v>0.04</v>
      </c>
      <c r="I266" s="73">
        <f>IF(Kredyt1[[#This Row],[Data]]="","",Kredyt1[[#This Row],[Cała rata]]-Kredyt1[[#This Row],[Kapitał]])</f>
        <v>444.17918041769803</v>
      </c>
      <c r="J266" s="74" cm="1">
        <f t="array" ref="J266">IFERROR(-PPMT(Kredyt1[[#This Row],[Oprocentowanie]]/12,Kredyt1[[#This Row],[Miesiąc kredytu]],IlośćRat,KwotaKredytu),"")</f>
        <v>1111.8698065276137</v>
      </c>
      <c r="K266" s="75" cm="1">
        <f t="array" ref="K266">IF(Kredyt1[[#This Row],[Miesiąc kredytu]]="","",-PMT(Kredyt1[[#This Row],[Oprocentowanie]]/12,IlośćRat,KwotaKredytu))</f>
        <v>1556.0489869453118</v>
      </c>
      <c r="L266" s="75">
        <v>0</v>
      </c>
      <c r="M266" s="76">
        <f>IFERROR(M265-J266-Kredyt1[[#This Row],[Nadpłata]],"")</f>
        <v>132141.88431878184</v>
      </c>
    </row>
    <row r="267" spans="4:13">
      <c r="D267" s="70" cm="1">
        <f t="array" ref="D267">IF(ROW(262:262)&lt;=IlośćRat,ROW(262:262),"")</f>
        <v>262</v>
      </c>
      <c r="E267" s="70">
        <f>IFERROR(ROUNDUP(Kredyt1[[#This Row],[Miesiąc kredytu]]/12,0),"")</f>
        <v>22</v>
      </c>
      <c r="F267" s="71">
        <f t="shared" si="4"/>
        <v>52048</v>
      </c>
      <c r="G267" s="72" cm="1">
        <f t="array" ref="G267">IF(Kredyt1[[#This Row],[Data]]="","",WIBOR3M)</f>
        <v>0.02</v>
      </c>
      <c r="H267" s="72" cm="1">
        <f t="array" ref="H267">IF(Kredyt1[[#This Row],[Data]]="","",G267+MarżaBAnku)</f>
        <v>0.04</v>
      </c>
      <c r="I267" s="73">
        <f>IF(Kredyt1[[#This Row],[Data]]="","",Kredyt1[[#This Row],[Cała rata]]-Kredyt1[[#This Row],[Kapitał]])</f>
        <v>440.47294772927262</v>
      </c>
      <c r="J267" s="74" cm="1">
        <f t="array" ref="J267">IFERROR(-PPMT(Kredyt1[[#This Row],[Oprocentowanie]]/12,Kredyt1[[#This Row],[Miesiąc kredytu]],IlośćRat,KwotaKredytu),"")</f>
        <v>1115.5760392160391</v>
      </c>
      <c r="K267" s="75" cm="1">
        <f t="array" ref="K267">IF(Kredyt1[[#This Row],[Miesiąc kredytu]]="","",-PMT(Kredyt1[[#This Row],[Oprocentowanie]]/12,IlośćRat,KwotaKredytu))</f>
        <v>1556.0489869453118</v>
      </c>
      <c r="L267" s="75">
        <v>0</v>
      </c>
      <c r="M267" s="76">
        <f>IFERROR(M266-J267-Kredyt1[[#This Row],[Nadpłata]],"")</f>
        <v>131026.3082795658</v>
      </c>
    </row>
    <row r="268" spans="4:13">
      <c r="D268" s="70" cm="1">
        <f t="array" ref="D268">IF(ROW(263:263)&lt;=IlośćRat,ROW(263:263),"")</f>
        <v>263</v>
      </c>
      <c r="E268" s="70">
        <f>IFERROR(ROUNDUP(Kredyt1[[#This Row],[Miesiąc kredytu]]/12,0),"")</f>
        <v>22</v>
      </c>
      <c r="F268" s="71">
        <f t="shared" si="4"/>
        <v>52079</v>
      </c>
      <c r="G268" s="72" cm="1">
        <f t="array" ref="G268">IF(Kredyt1[[#This Row],[Data]]="","",WIBOR3M)</f>
        <v>0.02</v>
      </c>
      <c r="H268" s="72" cm="1">
        <f t="array" ref="H268">IF(Kredyt1[[#This Row],[Data]]="","",G268+MarżaBAnku)</f>
        <v>0.04</v>
      </c>
      <c r="I268" s="73">
        <f>IF(Kredyt1[[#This Row],[Data]]="","",Kredyt1[[#This Row],[Cała rata]]-Kredyt1[[#This Row],[Kapitał]])</f>
        <v>436.75436093188591</v>
      </c>
      <c r="J268" s="74" cm="1">
        <f t="array" ref="J268">IFERROR(-PPMT(Kredyt1[[#This Row],[Oprocentowanie]]/12,Kredyt1[[#This Row],[Miesiąc kredytu]],IlośćRat,KwotaKredytu),"")</f>
        <v>1119.2946260134258</v>
      </c>
      <c r="K268" s="75" cm="1">
        <f t="array" ref="K268">IF(Kredyt1[[#This Row],[Miesiąc kredytu]]="","",-PMT(Kredyt1[[#This Row],[Oprocentowanie]]/12,IlośćRat,KwotaKredytu))</f>
        <v>1556.0489869453118</v>
      </c>
      <c r="L268" s="75">
        <v>0</v>
      </c>
      <c r="M268" s="76">
        <f>IFERROR(M267-J268-Kredyt1[[#This Row],[Nadpłata]],"")</f>
        <v>129907.01365355238</v>
      </c>
    </row>
    <row r="269" spans="4:13">
      <c r="D269" s="70" cm="1">
        <f t="array" ref="D269">IF(ROW(264:264)&lt;=IlośćRat,ROW(264:264),"")</f>
        <v>264</v>
      </c>
      <c r="E269" s="70">
        <f>IFERROR(ROUNDUP(Kredyt1[[#This Row],[Miesiąc kredytu]]/12,0),"")</f>
        <v>22</v>
      </c>
      <c r="F269" s="71">
        <f t="shared" si="4"/>
        <v>52110</v>
      </c>
      <c r="G269" s="72" cm="1">
        <f t="array" ref="G269">IF(Kredyt1[[#This Row],[Data]]="","",WIBOR3M)</f>
        <v>0.02</v>
      </c>
      <c r="H269" s="72" cm="1">
        <f t="array" ref="H269">IF(Kredyt1[[#This Row],[Data]]="","",G269+MarżaBAnku)</f>
        <v>0.04</v>
      </c>
      <c r="I269" s="73">
        <f>IF(Kredyt1[[#This Row],[Data]]="","",Kredyt1[[#This Row],[Cała rata]]-Kredyt1[[#This Row],[Kapitał]])</f>
        <v>433.02337884517465</v>
      </c>
      <c r="J269" s="74" cm="1">
        <f t="array" ref="J269">IFERROR(-PPMT(Kredyt1[[#This Row],[Oprocentowanie]]/12,Kredyt1[[#This Row],[Miesiąc kredytu]],IlośćRat,KwotaKredytu),"")</f>
        <v>1123.0256081001371</v>
      </c>
      <c r="K269" s="75" cm="1">
        <f t="array" ref="K269">IF(Kredyt1[[#This Row],[Miesiąc kredytu]]="","",-PMT(Kredyt1[[#This Row],[Oprocentowanie]]/12,IlośćRat,KwotaKredytu))</f>
        <v>1556.0489869453118</v>
      </c>
      <c r="L269" s="75">
        <v>0</v>
      </c>
      <c r="M269" s="76">
        <f>IFERROR(M268-J269-Kredyt1[[#This Row],[Nadpłata]],"")</f>
        <v>128783.98804545224</v>
      </c>
    </row>
    <row r="270" spans="4:13">
      <c r="D270" s="70" cm="1">
        <f t="array" ref="D270">IF(ROW(265:265)&lt;=IlośćRat,ROW(265:265),"")</f>
        <v>265</v>
      </c>
      <c r="E270" s="70">
        <f>IFERROR(ROUNDUP(Kredyt1[[#This Row],[Miesiąc kredytu]]/12,0),"")</f>
        <v>23</v>
      </c>
      <c r="F270" s="71">
        <f t="shared" si="4"/>
        <v>52140</v>
      </c>
      <c r="G270" s="72" cm="1">
        <f t="array" ref="G270">IF(Kredyt1[[#This Row],[Data]]="","",WIBOR3M)</f>
        <v>0.02</v>
      </c>
      <c r="H270" s="72" cm="1">
        <f t="array" ref="H270">IF(Kredyt1[[#This Row],[Data]]="","",G270+MarżaBAnku)</f>
        <v>0.04</v>
      </c>
      <c r="I270" s="73">
        <f>IF(Kredyt1[[#This Row],[Data]]="","",Kredyt1[[#This Row],[Cała rata]]-Kredyt1[[#This Row],[Kapitał]])</f>
        <v>429.27996015150734</v>
      </c>
      <c r="J270" s="74" cm="1">
        <f t="array" ref="J270">IFERROR(-PPMT(Kredyt1[[#This Row],[Oprocentowanie]]/12,Kredyt1[[#This Row],[Miesiąc kredytu]],IlośćRat,KwotaKredytu),"")</f>
        <v>1126.7690267938044</v>
      </c>
      <c r="K270" s="75" cm="1">
        <f t="array" ref="K270">IF(Kredyt1[[#This Row],[Miesiąc kredytu]]="","",-PMT(Kredyt1[[#This Row],[Oprocentowanie]]/12,IlośćRat,KwotaKredytu))</f>
        <v>1556.0489869453118</v>
      </c>
      <c r="L270" s="75">
        <v>0</v>
      </c>
      <c r="M270" s="76">
        <f>IFERROR(M269-J270-Kredyt1[[#This Row],[Nadpłata]],"")</f>
        <v>127657.21901865843</v>
      </c>
    </row>
    <row r="271" spans="4:13">
      <c r="D271" s="70" cm="1">
        <f t="array" ref="D271">IF(ROW(266:266)&lt;=IlośćRat,ROW(266:266),"")</f>
        <v>266</v>
      </c>
      <c r="E271" s="70">
        <f>IFERROR(ROUNDUP(Kredyt1[[#This Row],[Miesiąc kredytu]]/12,0),"")</f>
        <v>23</v>
      </c>
      <c r="F271" s="71">
        <f t="shared" si="4"/>
        <v>52171</v>
      </c>
      <c r="G271" s="72" cm="1">
        <f t="array" ref="G271">IF(Kredyt1[[#This Row],[Data]]="","",WIBOR3M)</f>
        <v>0.02</v>
      </c>
      <c r="H271" s="72" cm="1">
        <f t="array" ref="H271">IF(Kredyt1[[#This Row],[Data]]="","",G271+MarżaBAnku)</f>
        <v>0.04</v>
      </c>
      <c r="I271" s="73">
        <f>IF(Kredyt1[[#This Row],[Data]]="","",Kredyt1[[#This Row],[Cała rata]]-Kredyt1[[#This Row],[Kapitał]])</f>
        <v>425.52406339552817</v>
      </c>
      <c r="J271" s="74" cm="1">
        <f t="array" ref="J271">IFERROR(-PPMT(Kredyt1[[#This Row],[Oprocentowanie]]/12,Kredyt1[[#This Row],[Miesiąc kredytu]],IlośćRat,KwotaKredytu),"")</f>
        <v>1130.5249235497836</v>
      </c>
      <c r="K271" s="75" cm="1">
        <f t="array" ref="K271">IF(Kredyt1[[#This Row],[Miesiąc kredytu]]="","",-PMT(Kredyt1[[#This Row],[Oprocentowanie]]/12,IlośćRat,KwotaKredytu))</f>
        <v>1556.0489869453118</v>
      </c>
      <c r="L271" s="75">
        <v>0</v>
      </c>
      <c r="M271" s="76">
        <f>IFERROR(M270-J271-Kredyt1[[#This Row],[Nadpłata]],"")</f>
        <v>126526.69409510864</v>
      </c>
    </row>
    <row r="272" spans="4:13">
      <c r="D272" s="70" cm="1">
        <f t="array" ref="D272">IF(ROW(267:267)&lt;=IlośćRat,ROW(267:267),"")</f>
        <v>267</v>
      </c>
      <c r="E272" s="70">
        <f>IFERROR(ROUNDUP(Kredyt1[[#This Row],[Miesiąc kredytu]]/12,0),"")</f>
        <v>23</v>
      </c>
      <c r="F272" s="71">
        <f t="shared" si="4"/>
        <v>52201</v>
      </c>
      <c r="G272" s="72" cm="1">
        <f t="array" ref="G272">IF(Kredyt1[[#This Row],[Data]]="","",WIBOR3M)</f>
        <v>0.02</v>
      </c>
      <c r="H272" s="72" cm="1">
        <f t="array" ref="H272">IF(Kredyt1[[#This Row],[Data]]="","",G272+MarżaBAnku)</f>
        <v>0.04</v>
      </c>
      <c r="I272" s="73">
        <f>IF(Kredyt1[[#This Row],[Data]]="","",Kredyt1[[#This Row],[Cała rata]]-Kredyt1[[#This Row],[Kapitał]])</f>
        <v>421.75564698369544</v>
      </c>
      <c r="J272" s="74" cm="1">
        <f t="array" ref="J272">IFERROR(-PPMT(Kredyt1[[#This Row],[Oprocentowanie]]/12,Kredyt1[[#This Row],[Miesiąc kredytu]],IlośćRat,KwotaKredytu),"")</f>
        <v>1134.2933399616163</v>
      </c>
      <c r="K272" s="75" cm="1">
        <f t="array" ref="K272">IF(Kredyt1[[#This Row],[Miesiąc kredytu]]="","",-PMT(Kredyt1[[#This Row],[Oprocentowanie]]/12,IlośćRat,KwotaKredytu))</f>
        <v>1556.0489869453118</v>
      </c>
      <c r="L272" s="75">
        <v>0</v>
      </c>
      <c r="M272" s="76">
        <f>IFERROR(M271-J272-Kredyt1[[#This Row],[Nadpłata]],"")</f>
        <v>125392.40075514703</v>
      </c>
    </row>
    <row r="273" spans="4:13">
      <c r="D273" s="70" cm="1">
        <f t="array" ref="D273">IF(ROW(268:268)&lt;=IlośćRat,ROW(268:268),"")</f>
        <v>268</v>
      </c>
      <c r="E273" s="70">
        <f>IFERROR(ROUNDUP(Kredyt1[[#This Row],[Miesiąc kredytu]]/12,0),"")</f>
        <v>23</v>
      </c>
      <c r="F273" s="71">
        <f t="shared" si="4"/>
        <v>52232</v>
      </c>
      <c r="G273" s="72" cm="1">
        <f t="array" ref="G273">IF(Kredyt1[[#This Row],[Data]]="","",WIBOR3M)</f>
        <v>0.02</v>
      </c>
      <c r="H273" s="72" cm="1">
        <f t="array" ref="H273">IF(Kredyt1[[#This Row],[Data]]="","",G273+MarżaBAnku)</f>
        <v>0.04</v>
      </c>
      <c r="I273" s="73">
        <f>IF(Kredyt1[[#This Row],[Data]]="","",Kredyt1[[#This Row],[Cała rata]]-Kredyt1[[#This Row],[Kapitał]])</f>
        <v>417.97466918382338</v>
      </c>
      <c r="J273" s="74" cm="1">
        <f t="array" ref="J273">IFERROR(-PPMT(Kredyt1[[#This Row],[Oprocentowanie]]/12,Kredyt1[[#This Row],[Miesiąc kredytu]],IlośćRat,KwotaKredytu),"")</f>
        <v>1138.0743177614884</v>
      </c>
      <c r="K273" s="75" cm="1">
        <f t="array" ref="K273">IF(Kredyt1[[#This Row],[Miesiąc kredytu]]="","",-PMT(Kredyt1[[#This Row],[Oprocentowanie]]/12,IlośćRat,KwotaKredytu))</f>
        <v>1556.0489869453118</v>
      </c>
      <c r="L273" s="75">
        <v>0</v>
      </c>
      <c r="M273" s="76">
        <f>IFERROR(M272-J273-Kredyt1[[#This Row],[Nadpłata]],"")</f>
        <v>124254.32643738553</v>
      </c>
    </row>
    <row r="274" spans="4:13">
      <c r="D274" s="70" cm="1">
        <f t="array" ref="D274">IF(ROW(269:269)&lt;=IlośćRat,ROW(269:269),"")</f>
        <v>269</v>
      </c>
      <c r="E274" s="70">
        <f>IFERROR(ROUNDUP(Kredyt1[[#This Row],[Miesiąc kredytu]]/12,0),"")</f>
        <v>23</v>
      </c>
      <c r="F274" s="71">
        <f t="shared" si="4"/>
        <v>52263</v>
      </c>
      <c r="G274" s="72" cm="1">
        <f t="array" ref="G274">IF(Kredyt1[[#This Row],[Data]]="","",WIBOR3M)</f>
        <v>0.02</v>
      </c>
      <c r="H274" s="72" cm="1">
        <f t="array" ref="H274">IF(Kredyt1[[#This Row],[Data]]="","",G274+MarżaBAnku)</f>
        <v>0.04</v>
      </c>
      <c r="I274" s="73">
        <f>IF(Kredyt1[[#This Row],[Data]]="","",Kredyt1[[#This Row],[Cała rata]]-Kredyt1[[#This Row],[Kapitał]])</f>
        <v>414.18108812461855</v>
      </c>
      <c r="J274" s="74" cm="1">
        <f t="array" ref="J274">IFERROR(-PPMT(Kredyt1[[#This Row],[Oprocentowanie]]/12,Kredyt1[[#This Row],[Miesiąc kredytu]],IlośćRat,KwotaKredytu),"")</f>
        <v>1141.8678988206932</v>
      </c>
      <c r="K274" s="75" cm="1">
        <f t="array" ref="K274">IF(Kredyt1[[#This Row],[Miesiąc kredytu]]="","",-PMT(Kredyt1[[#This Row],[Oprocentowanie]]/12,IlośćRat,KwotaKredytu))</f>
        <v>1556.0489869453118</v>
      </c>
      <c r="L274" s="75">
        <v>0</v>
      </c>
      <c r="M274" s="76">
        <f>IFERROR(M273-J274-Kredyt1[[#This Row],[Nadpłata]],"")</f>
        <v>123112.45853856484</v>
      </c>
    </row>
    <row r="275" spans="4:13">
      <c r="D275" s="70" cm="1">
        <f t="array" ref="D275">IF(ROW(270:270)&lt;=IlośćRat,ROW(270:270),"")</f>
        <v>270</v>
      </c>
      <c r="E275" s="70">
        <f>IFERROR(ROUNDUP(Kredyt1[[#This Row],[Miesiąc kredytu]]/12,0),"")</f>
        <v>23</v>
      </c>
      <c r="F275" s="71">
        <f t="shared" si="4"/>
        <v>52291</v>
      </c>
      <c r="G275" s="72" cm="1">
        <f t="array" ref="G275">IF(Kredyt1[[#This Row],[Data]]="","",WIBOR3M)</f>
        <v>0.02</v>
      </c>
      <c r="H275" s="72" cm="1">
        <f t="array" ref="H275">IF(Kredyt1[[#This Row],[Data]]="","",G275+MarżaBAnku)</f>
        <v>0.04</v>
      </c>
      <c r="I275" s="73">
        <f>IF(Kredyt1[[#This Row],[Data]]="","",Kredyt1[[#This Row],[Cała rata]]-Kredyt1[[#This Row],[Kapitał]])</f>
        <v>410.37486179521602</v>
      </c>
      <c r="J275" s="74" cm="1">
        <f t="array" ref="J275">IFERROR(-PPMT(Kredyt1[[#This Row],[Oprocentowanie]]/12,Kredyt1[[#This Row],[Miesiąc kredytu]],IlośćRat,KwotaKredytu),"")</f>
        <v>1145.6741251500957</v>
      </c>
      <c r="K275" s="75" cm="1">
        <f t="array" ref="K275">IF(Kredyt1[[#This Row],[Miesiąc kredytu]]="","",-PMT(Kredyt1[[#This Row],[Oprocentowanie]]/12,IlośćRat,KwotaKredytu))</f>
        <v>1556.0489869453118</v>
      </c>
      <c r="L275" s="75">
        <v>0</v>
      </c>
      <c r="M275" s="76">
        <f>IFERROR(M274-J275-Kredyt1[[#This Row],[Nadpłata]],"")</f>
        <v>121966.78441341475</v>
      </c>
    </row>
    <row r="276" spans="4:13">
      <c r="D276" s="70" cm="1">
        <f t="array" ref="D276">IF(ROW(271:271)&lt;=IlośćRat,ROW(271:271),"")</f>
        <v>271</v>
      </c>
      <c r="E276" s="70">
        <f>IFERROR(ROUNDUP(Kredyt1[[#This Row],[Miesiąc kredytu]]/12,0),"")</f>
        <v>23</v>
      </c>
      <c r="F276" s="71">
        <f t="shared" si="4"/>
        <v>52322</v>
      </c>
      <c r="G276" s="72" cm="1">
        <f t="array" ref="G276">IF(Kredyt1[[#This Row],[Data]]="","",WIBOR3M)</f>
        <v>0.02</v>
      </c>
      <c r="H276" s="72" cm="1">
        <f t="array" ref="H276">IF(Kredyt1[[#This Row],[Data]]="","",G276+MarżaBAnku)</f>
        <v>0.04</v>
      </c>
      <c r="I276" s="73">
        <f>IF(Kredyt1[[#This Row],[Data]]="","",Kredyt1[[#This Row],[Cała rata]]-Kredyt1[[#This Row],[Kapitał]])</f>
        <v>406.55594804471593</v>
      </c>
      <c r="J276" s="74" cm="1">
        <f t="array" ref="J276">IFERROR(-PPMT(Kredyt1[[#This Row],[Oprocentowanie]]/12,Kredyt1[[#This Row],[Miesiąc kredytu]],IlośćRat,KwotaKredytu),"")</f>
        <v>1149.4930389005958</v>
      </c>
      <c r="K276" s="75" cm="1">
        <f t="array" ref="K276">IF(Kredyt1[[#This Row],[Miesiąc kredytu]]="","",-PMT(Kredyt1[[#This Row],[Oprocentowanie]]/12,IlośćRat,KwotaKredytu))</f>
        <v>1556.0489869453118</v>
      </c>
      <c r="L276" s="75">
        <v>0</v>
      </c>
      <c r="M276" s="76">
        <f>IFERROR(M275-J276-Kredyt1[[#This Row],[Nadpłata]],"")</f>
        <v>120817.29137451416</v>
      </c>
    </row>
    <row r="277" spans="4:13">
      <c r="D277" s="70" cm="1">
        <f t="array" ref="D277">IF(ROW(272:272)&lt;=IlośćRat,ROW(272:272),"")</f>
        <v>272</v>
      </c>
      <c r="E277" s="70">
        <f>IFERROR(ROUNDUP(Kredyt1[[#This Row],[Miesiąc kredytu]]/12,0),"")</f>
        <v>23</v>
      </c>
      <c r="F277" s="71">
        <f t="shared" si="4"/>
        <v>52352</v>
      </c>
      <c r="G277" s="72" cm="1">
        <f t="array" ref="G277">IF(Kredyt1[[#This Row],[Data]]="","",WIBOR3M)</f>
        <v>0.02</v>
      </c>
      <c r="H277" s="72" cm="1">
        <f t="array" ref="H277">IF(Kredyt1[[#This Row],[Data]]="","",G277+MarżaBAnku)</f>
        <v>0.04</v>
      </c>
      <c r="I277" s="73">
        <f>IF(Kredyt1[[#This Row],[Data]]="","",Kredyt1[[#This Row],[Cała rata]]-Kredyt1[[#This Row],[Kapitał]])</f>
        <v>402.7243045817138</v>
      </c>
      <c r="J277" s="74" cm="1">
        <f t="array" ref="J277">IFERROR(-PPMT(Kredyt1[[#This Row],[Oprocentowanie]]/12,Kredyt1[[#This Row],[Miesiąc kredytu]],IlośćRat,KwotaKredytu),"")</f>
        <v>1153.324682363598</v>
      </c>
      <c r="K277" s="75" cm="1">
        <f t="array" ref="K277">IF(Kredyt1[[#This Row],[Miesiąc kredytu]]="","",-PMT(Kredyt1[[#This Row],[Oprocentowanie]]/12,IlośćRat,KwotaKredytu))</f>
        <v>1556.0489869453118</v>
      </c>
      <c r="L277" s="75">
        <v>0</v>
      </c>
      <c r="M277" s="76">
        <f>IFERROR(M276-J277-Kredyt1[[#This Row],[Nadpłata]],"")</f>
        <v>119663.96669215056</v>
      </c>
    </row>
    <row r="278" spans="4:13">
      <c r="D278" s="70" cm="1">
        <f t="array" ref="D278">IF(ROW(273:273)&lt;=IlośćRat,ROW(273:273),"")</f>
        <v>273</v>
      </c>
      <c r="E278" s="70">
        <f>IFERROR(ROUNDUP(Kredyt1[[#This Row],[Miesiąc kredytu]]/12,0),"")</f>
        <v>23</v>
      </c>
      <c r="F278" s="71">
        <f t="shared" si="4"/>
        <v>52383</v>
      </c>
      <c r="G278" s="72" cm="1">
        <f t="array" ref="G278">IF(Kredyt1[[#This Row],[Data]]="","",WIBOR3M)</f>
        <v>0.02</v>
      </c>
      <c r="H278" s="72" cm="1">
        <f t="array" ref="H278">IF(Kredyt1[[#This Row],[Data]]="","",G278+MarżaBAnku)</f>
        <v>0.04</v>
      </c>
      <c r="I278" s="73">
        <f>IF(Kredyt1[[#This Row],[Data]]="","",Kredyt1[[#This Row],[Cała rata]]-Kredyt1[[#This Row],[Kapitał]])</f>
        <v>398.87988897383502</v>
      </c>
      <c r="J278" s="74" cm="1">
        <f t="array" ref="J278">IFERROR(-PPMT(Kredyt1[[#This Row],[Oprocentowanie]]/12,Kredyt1[[#This Row],[Miesiąc kredytu]],IlośćRat,KwotaKredytu),"")</f>
        <v>1157.1690979714767</v>
      </c>
      <c r="K278" s="75" cm="1">
        <f t="array" ref="K278">IF(Kredyt1[[#This Row],[Miesiąc kredytu]]="","",-PMT(Kredyt1[[#This Row],[Oprocentowanie]]/12,IlośćRat,KwotaKredytu))</f>
        <v>1556.0489869453118</v>
      </c>
      <c r="L278" s="75">
        <v>0</v>
      </c>
      <c r="M278" s="76">
        <f>IFERROR(M277-J278-Kredyt1[[#This Row],[Nadpłata]],"")</f>
        <v>118506.79759417908</v>
      </c>
    </row>
    <row r="279" spans="4:13">
      <c r="D279" s="70" cm="1">
        <f t="array" ref="D279">IF(ROW(274:274)&lt;=IlośćRat,ROW(274:274),"")</f>
        <v>274</v>
      </c>
      <c r="E279" s="70">
        <f>IFERROR(ROUNDUP(Kredyt1[[#This Row],[Miesiąc kredytu]]/12,0),"")</f>
        <v>23</v>
      </c>
      <c r="F279" s="71">
        <f t="shared" si="4"/>
        <v>52413</v>
      </c>
      <c r="G279" s="72" cm="1">
        <f t="array" ref="G279">IF(Kredyt1[[#This Row],[Data]]="","",WIBOR3M)</f>
        <v>0.02</v>
      </c>
      <c r="H279" s="72" cm="1">
        <f t="array" ref="H279">IF(Kredyt1[[#This Row],[Data]]="","",G279+MarżaBAnku)</f>
        <v>0.04</v>
      </c>
      <c r="I279" s="73">
        <f>IF(Kredyt1[[#This Row],[Data]]="","",Kredyt1[[#This Row],[Cała rata]]-Kredyt1[[#This Row],[Kapitał]])</f>
        <v>395.0226586472636</v>
      </c>
      <c r="J279" s="74" cm="1">
        <f t="array" ref="J279">IFERROR(-PPMT(Kredyt1[[#This Row],[Oprocentowanie]]/12,Kredyt1[[#This Row],[Miesiąc kredytu]],IlośćRat,KwotaKredytu),"")</f>
        <v>1161.0263282980482</v>
      </c>
      <c r="K279" s="75" cm="1">
        <f t="array" ref="K279">IF(Kredyt1[[#This Row],[Miesiąc kredytu]]="","",-PMT(Kredyt1[[#This Row],[Oprocentowanie]]/12,IlośćRat,KwotaKredytu))</f>
        <v>1556.0489869453118</v>
      </c>
      <c r="L279" s="75">
        <v>0</v>
      </c>
      <c r="M279" s="76">
        <f>IFERROR(M278-J279-Kredyt1[[#This Row],[Nadpłata]],"")</f>
        <v>117345.77126588103</v>
      </c>
    </row>
    <row r="280" spans="4:13">
      <c r="D280" s="70" cm="1">
        <f t="array" ref="D280">IF(ROW(275:275)&lt;=IlośćRat,ROW(275:275),"")</f>
        <v>275</v>
      </c>
      <c r="E280" s="70">
        <f>IFERROR(ROUNDUP(Kredyt1[[#This Row],[Miesiąc kredytu]]/12,0),"")</f>
        <v>23</v>
      </c>
      <c r="F280" s="71">
        <f t="shared" si="4"/>
        <v>52444</v>
      </c>
      <c r="G280" s="72" cm="1">
        <f t="array" ref="G280">IF(Kredyt1[[#This Row],[Data]]="","",WIBOR3M)</f>
        <v>0.02</v>
      </c>
      <c r="H280" s="72" cm="1">
        <f t="array" ref="H280">IF(Kredyt1[[#This Row],[Data]]="","",G280+MarżaBAnku)</f>
        <v>0.04</v>
      </c>
      <c r="I280" s="73">
        <f>IF(Kredyt1[[#This Row],[Data]]="","",Kredyt1[[#This Row],[Cała rata]]-Kredyt1[[#This Row],[Kapitał]])</f>
        <v>391.15257088627004</v>
      </c>
      <c r="J280" s="74" cm="1">
        <f t="array" ref="J280">IFERROR(-PPMT(Kredyt1[[#This Row],[Oprocentowanie]]/12,Kredyt1[[#This Row],[Miesiąc kredytu]],IlośćRat,KwotaKredytu),"")</f>
        <v>1164.8964160590417</v>
      </c>
      <c r="K280" s="75" cm="1">
        <f t="array" ref="K280">IF(Kredyt1[[#This Row],[Miesiąc kredytu]]="","",-PMT(Kredyt1[[#This Row],[Oprocentowanie]]/12,IlośćRat,KwotaKredytu))</f>
        <v>1556.0489869453118</v>
      </c>
      <c r="L280" s="75">
        <v>0</v>
      </c>
      <c r="M280" s="76">
        <f>IFERROR(M279-J280-Kredyt1[[#This Row],[Nadpłata]],"")</f>
        <v>116180.87484982199</v>
      </c>
    </row>
    <row r="281" spans="4:13">
      <c r="D281" s="70" cm="1">
        <f t="array" ref="D281">IF(ROW(276:276)&lt;=IlośćRat,ROW(276:276),"")</f>
        <v>276</v>
      </c>
      <c r="E281" s="70">
        <f>IFERROR(ROUNDUP(Kredyt1[[#This Row],[Miesiąc kredytu]]/12,0),"")</f>
        <v>23</v>
      </c>
      <c r="F281" s="71">
        <f t="shared" si="4"/>
        <v>52475</v>
      </c>
      <c r="G281" s="72" cm="1">
        <f t="array" ref="G281">IF(Kredyt1[[#This Row],[Data]]="","",WIBOR3M)</f>
        <v>0.02</v>
      </c>
      <c r="H281" s="72" cm="1">
        <f t="array" ref="H281">IF(Kredyt1[[#This Row],[Data]]="","",G281+MarżaBAnku)</f>
        <v>0.04</v>
      </c>
      <c r="I281" s="73">
        <f>IF(Kredyt1[[#This Row],[Data]]="","",Kredyt1[[#This Row],[Cała rata]]-Kredyt1[[#This Row],[Kapitał]])</f>
        <v>387.26958283274007</v>
      </c>
      <c r="J281" s="74" cm="1">
        <f t="array" ref="J281">IFERROR(-PPMT(Kredyt1[[#This Row],[Oprocentowanie]]/12,Kredyt1[[#This Row],[Miesiąc kredytu]],IlośćRat,KwotaKredytu),"")</f>
        <v>1168.7794041125717</v>
      </c>
      <c r="K281" s="75" cm="1">
        <f t="array" ref="K281">IF(Kredyt1[[#This Row],[Miesiąc kredytu]]="","",-PMT(Kredyt1[[#This Row],[Oprocentowanie]]/12,IlośćRat,KwotaKredytu))</f>
        <v>1556.0489869453118</v>
      </c>
      <c r="L281" s="75">
        <v>0</v>
      </c>
      <c r="M281" s="76">
        <f>IFERROR(M280-J281-Kredyt1[[#This Row],[Nadpłata]],"")</f>
        <v>115012.09544570942</v>
      </c>
    </row>
    <row r="282" spans="4:13">
      <c r="D282" s="70" cm="1">
        <f t="array" ref="D282">IF(ROW(277:277)&lt;=IlośćRat,ROW(277:277),"")</f>
        <v>277</v>
      </c>
      <c r="E282" s="70">
        <f>IFERROR(ROUNDUP(Kredyt1[[#This Row],[Miesiąc kredytu]]/12,0),"")</f>
        <v>24</v>
      </c>
      <c r="F282" s="71">
        <f t="shared" si="4"/>
        <v>52505</v>
      </c>
      <c r="G282" s="72" cm="1">
        <f t="array" ref="G282">IF(Kredyt1[[#This Row],[Data]]="","",WIBOR3M)</f>
        <v>0.02</v>
      </c>
      <c r="H282" s="72" cm="1">
        <f t="array" ref="H282">IF(Kredyt1[[#This Row],[Data]]="","",G282+MarżaBAnku)</f>
        <v>0.04</v>
      </c>
      <c r="I282" s="73">
        <f>IF(Kredyt1[[#This Row],[Data]]="","",Kredyt1[[#This Row],[Cała rata]]-Kredyt1[[#This Row],[Kapitał]])</f>
        <v>383.37365148569825</v>
      </c>
      <c r="J282" s="74" cm="1">
        <f t="array" ref="J282">IFERROR(-PPMT(Kredyt1[[#This Row],[Oprocentowanie]]/12,Kredyt1[[#This Row],[Miesiąc kredytu]],IlośćRat,KwotaKredytu),"")</f>
        <v>1172.6753354596135</v>
      </c>
      <c r="K282" s="75" cm="1">
        <f t="array" ref="K282">IF(Kredyt1[[#This Row],[Miesiąc kredytu]]="","",-PMT(Kredyt1[[#This Row],[Oprocentowanie]]/12,IlośćRat,KwotaKredytu))</f>
        <v>1556.0489869453118</v>
      </c>
      <c r="L282" s="75">
        <v>0</v>
      </c>
      <c r="M282" s="76">
        <f>IFERROR(M281-J282-Kredyt1[[#This Row],[Nadpłata]],"")</f>
        <v>113839.4201102498</v>
      </c>
    </row>
    <row r="283" spans="4:13">
      <c r="D283" s="70" cm="1">
        <f t="array" ref="D283">IF(ROW(278:278)&lt;=IlośćRat,ROW(278:278),"")</f>
        <v>278</v>
      </c>
      <c r="E283" s="70">
        <f>IFERROR(ROUNDUP(Kredyt1[[#This Row],[Miesiąc kredytu]]/12,0),"")</f>
        <v>24</v>
      </c>
      <c r="F283" s="71">
        <f t="shared" si="4"/>
        <v>52536</v>
      </c>
      <c r="G283" s="72" cm="1">
        <f t="array" ref="G283">IF(Kredyt1[[#This Row],[Data]]="","",WIBOR3M)</f>
        <v>0.02</v>
      </c>
      <c r="H283" s="72" cm="1">
        <f t="array" ref="H283">IF(Kredyt1[[#This Row],[Data]]="","",G283+MarżaBAnku)</f>
        <v>0.04</v>
      </c>
      <c r="I283" s="73">
        <f>IF(Kredyt1[[#This Row],[Data]]="","",Kredyt1[[#This Row],[Cała rata]]-Kredyt1[[#This Row],[Kapitał]])</f>
        <v>379.46473370083277</v>
      </c>
      <c r="J283" s="74" cm="1">
        <f t="array" ref="J283">IFERROR(-PPMT(Kredyt1[[#This Row],[Oprocentowanie]]/12,Kredyt1[[#This Row],[Miesiąc kredytu]],IlośćRat,KwotaKredytu),"")</f>
        <v>1176.584253244479</v>
      </c>
      <c r="K283" s="75" cm="1">
        <f t="array" ref="K283">IF(Kredyt1[[#This Row],[Miesiąc kredytu]]="","",-PMT(Kredyt1[[#This Row],[Oprocentowanie]]/12,IlośćRat,KwotaKredytu))</f>
        <v>1556.0489869453118</v>
      </c>
      <c r="L283" s="75">
        <v>0</v>
      </c>
      <c r="M283" s="76">
        <f>IFERROR(M282-J283-Kredyt1[[#This Row],[Nadpłata]],"")</f>
        <v>112662.83585700532</v>
      </c>
    </row>
    <row r="284" spans="4:13">
      <c r="D284" s="70" cm="1">
        <f t="array" ref="D284">IF(ROW(279:279)&lt;=IlośćRat,ROW(279:279),"")</f>
        <v>279</v>
      </c>
      <c r="E284" s="70">
        <f>IFERROR(ROUNDUP(Kredyt1[[#This Row],[Miesiąc kredytu]]/12,0),"")</f>
        <v>24</v>
      </c>
      <c r="F284" s="71">
        <f t="shared" si="4"/>
        <v>52566</v>
      </c>
      <c r="G284" s="72" cm="1">
        <f t="array" ref="G284">IF(Kredyt1[[#This Row],[Data]]="","",WIBOR3M)</f>
        <v>0.02</v>
      </c>
      <c r="H284" s="72" cm="1">
        <f t="array" ref="H284">IF(Kredyt1[[#This Row],[Data]]="","",G284+MarżaBAnku)</f>
        <v>0.04</v>
      </c>
      <c r="I284" s="73">
        <f>IF(Kredyt1[[#This Row],[Data]]="","",Kredyt1[[#This Row],[Cała rata]]-Kredyt1[[#This Row],[Kapitał]])</f>
        <v>375.54278619001775</v>
      </c>
      <c r="J284" s="74" cm="1">
        <f t="array" ref="J284">IFERROR(-PPMT(Kredyt1[[#This Row],[Oprocentowanie]]/12,Kredyt1[[#This Row],[Miesiąc kredytu]],IlośćRat,KwotaKredytu),"")</f>
        <v>1180.506200755294</v>
      </c>
      <c r="K284" s="75" cm="1">
        <f t="array" ref="K284">IF(Kredyt1[[#This Row],[Miesiąc kredytu]]="","",-PMT(Kredyt1[[#This Row],[Oprocentowanie]]/12,IlośćRat,KwotaKredytu))</f>
        <v>1556.0489869453118</v>
      </c>
      <c r="L284" s="75">
        <v>0</v>
      </c>
      <c r="M284" s="76">
        <f>IFERROR(M283-J284-Kredyt1[[#This Row],[Nadpłata]],"")</f>
        <v>111482.32965625003</v>
      </c>
    </row>
    <row r="285" spans="4:13">
      <c r="D285" s="70" cm="1">
        <f t="array" ref="D285">IF(ROW(280:280)&lt;=IlośćRat,ROW(280:280),"")</f>
        <v>280</v>
      </c>
      <c r="E285" s="70">
        <f>IFERROR(ROUNDUP(Kredyt1[[#This Row],[Miesiąc kredytu]]/12,0),"")</f>
        <v>24</v>
      </c>
      <c r="F285" s="71">
        <f t="shared" si="4"/>
        <v>52597</v>
      </c>
      <c r="G285" s="72" cm="1">
        <f t="array" ref="G285">IF(Kredyt1[[#This Row],[Data]]="","",WIBOR3M)</f>
        <v>0.02</v>
      </c>
      <c r="H285" s="72" cm="1">
        <f t="array" ref="H285">IF(Kredyt1[[#This Row],[Data]]="","",G285+MarżaBAnku)</f>
        <v>0.04</v>
      </c>
      <c r="I285" s="73">
        <f>IF(Kredyt1[[#This Row],[Data]]="","",Kredyt1[[#This Row],[Cała rata]]-Kredyt1[[#This Row],[Kapitał]])</f>
        <v>371.60776552083348</v>
      </c>
      <c r="J285" s="74" cm="1">
        <f t="array" ref="J285">IFERROR(-PPMT(Kredyt1[[#This Row],[Oprocentowanie]]/12,Kredyt1[[#This Row],[Miesiąc kredytu]],IlośćRat,KwotaKredytu),"")</f>
        <v>1184.4412214244783</v>
      </c>
      <c r="K285" s="75" cm="1">
        <f t="array" ref="K285">IF(Kredyt1[[#This Row],[Miesiąc kredytu]]="","",-PMT(Kredyt1[[#This Row],[Oprocentowanie]]/12,IlośćRat,KwotaKredytu))</f>
        <v>1556.0489869453118</v>
      </c>
      <c r="L285" s="75">
        <v>0</v>
      </c>
      <c r="M285" s="76">
        <f>IFERROR(M284-J285-Kredyt1[[#This Row],[Nadpłata]],"")</f>
        <v>110297.88843482555</v>
      </c>
    </row>
    <row r="286" spans="4:13">
      <c r="D286" s="70" cm="1">
        <f t="array" ref="D286">IF(ROW(281:281)&lt;=IlośćRat,ROW(281:281),"")</f>
        <v>281</v>
      </c>
      <c r="E286" s="70">
        <f>IFERROR(ROUNDUP(Kredyt1[[#This Row],[Miesiąc kredytu]]/12,0),"")</f>
        <v>24</v>
      </c>
      <c r="F286" s="71">
        <f t="shared" si="4"/>
        <v>52628</v>
      </c>
      <c r="G286" s="72" cm="1">
        <f t="array" ref="G286">IF(Kredyt1[[#This Row],[Data]]="","",WIBOR3M)</f>
        <v>0.02</v>
      </c>
      <c r="H286" s="72" cm="1">
        <f t="array" ref="H286">IF(Kredyt1[[#This Row],[Data]]="","",G286+MarżaBAnku)</f>
        <v>0.04</v>
      </c>
      <c r="I286" s="73">
        <f>IF(Kredyt1[[#This Row],[Data]]="","",Kredyt1[[#This Row],[Cała rata]]-Kredyt1[[#This Row],[Kapitał]])</f>
        <v>367.65962811608506</v>
      </c>
      <c r="J286" s="74" cm="1">
        <f t="array" ref="J286">IFERROR(-PPMT(Kredyt1[[#This Row],[Oprocentowanie]]/12,Kredyt1[[#This Row],[Miesiąc kredytu]],IlośćRat,KwotaKredytu),"")</f>
        <v>1188.3893588292267</v>
      </c>
      <c r="K286" s="75" cm="1">
        <f t="array" ref="K286">IF(Kredyt1[[#This Row],[Miesiąc kredytu]]="","",-PMT(Kredyt1[[#This Row],[Oprocentowanie]]/12,IlośćRat,KwotaKredytu))</f>
        <v>1556.0489869453118</v>
      </c>
      <c r="L286" s="75">
        <v>0</v>
      </c>
      <c r="M286" s="76">
        <f>IFERROR(M285-J286-Kredyt1[[#This Row],[Nadpłata]],"")</f>
        <v>109109.49907599633</v>
      </c>
    </row>
    <row r="287" spans="4:13">
      <c r="D287" s="70" cm="1">
        <f t="array" ref="D287">IF(ROW(282:282)&lt;=IlośćRat,ROW(282:282),"")</f>
        <v>282</v>
      </c>
      <c r="E287" s="70">
        <f>IFERROR(ROUNDUP(Kredyt1[[#This Row],[Miesiąc kredytu]]/12,0),"")</f>
        <v>24</v>
      </c>
      <c r="F287" s="71">
        <f t="shared" si="4"/>
        <v>52657</v>
      </c>
      <c r="G287" s="72" cm="1">
        <f t="array" ref="G287">IF(Kredyt1[[#This Row],[Data]]="","",WIBOR3M)</f>
        <v>0.02</v>
      </c>
      <c r="H287" s="72" cm="1">
        <f t="array" ref="H287">IF(Kredyt1[[#This Row],[Data]]="","",G287+MarżaBAnku)</f>
        <v>0.04</v>
      </c>
      <c r="I287" s="73">
        <f>IF(Kredyt1[[#This Row],[Data]]="","",Kredyt1[[#This Row],[Cała rata]]-Kredyt1[[#This Row],[Kapitał]])</f>
        <v>363.69833025332105</v>
      </c>
      <c r="J287" s="74" cm="1">
        <f t="array" ref="J287">IFERROR(-PPMT(Kredyt1[[#This Row],[Oprocentowanie]]/12,Kredyt1[[#This Row],[Miesiąc kredytu]],IlośćRat,KwotaKredytu),"")</f>
        <v>1192.3506566919907</v>
      </c>
      <c r="K287" s="75" cm="1">
        <f t="array" ref="K287">IF(Kredyt1[[#This Row],[Miesiąc kredytu]]="","",-PMT(Kredyt1[[#This Row],[Oprocentowanie]]/12,IlośćRat,KwotaKredytu))</f>
        <v>1556.0489869453118</v>
      </c>
      <c r="L287" s="75">
        <v>0</v>
      </c>
      <c r="M287" s="76">
        <f>IFERROR(M286-J287-Kredyt1[[#This Row],[Nadpłata]],"")</f>
        <v>107917.14841930433</v>
      </c>
    </row>
    <row r="288" spans="4:13">
      <c r="D288" s="70" cm="1">
        <f t="array" ref="D288">IF(ROW(283:283)&lt;=IlośćRat,ROW(283:283),"")</f>
        <v>283</v>
      </c>
      <c r="E288" s="70">
        <f>IFERROR(ROUNDUP(Kredyt1[[#This Row],[Miesiąc kredytu]]/12,0),"")</f>
        <v>24</v>
      </c>
      <c r="F288" s="71">
        <f t="shared" si="4"/>
        <v>52688</v>
      </c>
      <c r="G288" s="72" cm="1">
        <f t="array" ref="G288">IF(Kredyt1[[#This Row],[Data]]="","",WIBOR3M)</f>
        <v>0.02</v>
      </c>
      <c r="H288" s="72" cm="1">
        <f t="array" ref="H288">IF(Kredyt1[[#This Row],[Data]]="","",G288+MarżaBAnku)</f>
        <v>0.04</v>
      </c>
      <c r="I288" s="73">
        <f>IF(Kredyt1[[#This Row],[Data]]="","",Kredyt1[[#This Row],[Cała rata]]-Kredyt1[[#This Row],[Kapitał]])</f>
        <v>359.7238280643478</v>
      </c>
      <c r="J288" s="74" cm="1">
        <f t="array" ref="J288">IFERROR(-PPMT(Kredyt1[[#This Row],[Oprocentowanie]]/12,Kredyt1[[#This Row],[Miesiąc kredytu]],IlośćRat,KwotaKredytu),"")</f>
        <v>1196.325158880964</v>
      </c>
      <c r="K288" s="75" cm="1">
        <f t="array" ref="K288">IF(Kredyt1[[#This Row],[Miesiąc kredytu]]="","",-PMT(Kredyt1[[#This Row],[Oprocentowanie]]/12,IlośćRat,KwotaKredytu))</f>
        <v>1556.0489869453118</v>
      </c>
      <c r="L288" s="75">
        <v>0</v>
      </c>
      <c r="M288" s="76">
        <f>IFERROR(M287-J288-Kredyt1[[#This Row],[Nadpłata]],"")</f>
        <v>106720.82326042336</v>
      </c>
    </row>
    <row r="289" spans="4:13">
      <c r="D289" s="70" cm="1">
        <f t="array" ref="D289">IF(ROW(284:284)&lt;=IlośćRat,ROW(284:284),"")</f>
        <v>284</v>
      </c>
      <c r="E289" s="70">
        <f>IFERROR(ROUNDUP(Kredyt1[[#This Row],[Miesiąc kredytu]]/12,0),"")</f>
        <v>24</v>
      </c>
      <c r="F289" s="71">
        <f t="shared" si="4"/>
        <v>52718</v>
      </c>
      <c r="G289" s="72" cm="1">
        <f t="array" ref="G289">IF(Kredyt1[[#This Row],[Data]]="","",WIBOR3M)</f>
        <v>0.02</v>
      </c>
      <c r="H289" s="72" cm="1">
        <f t="array" ref="H289">IF(Kredyt1[[#This Row],[Data]]="","",G289+MarżaBAnku)</f>
        <v>0.04</v>
      </c>
      <c r="I289" s="73">
        <f>IF(Kredyt1[[#This Row],[Data]]="","",Kredyt1[[#This Row],[Cała rata]]-Kredyt1[[#This Row],[Kapitał]])</f>
        <v>355.73607753474448</v>
      </c>
      <c r="J289" s="74" cm="1">
        <f t="array" ref="J289">IFERROR(-PPMT(Kredyt1[[#This Row],[Oprocentowanie]]/12,Kredyt1[[#This Row],[Miesiąc kredytu]],IlośćRat,KwotaKredytu),"")</f>
        <v>1200.3129094105673</v>
      </c>
      <c r="K289" s="75" cm="1">
        <f t="array" ref="K289">IF(Kredyt1[[#This Row],[Miesiąc kredytu]]="","",-PMT(Kredyt1[[#This Row],[Oprocentowanie]]/12,IlośćRat,KwotaKredytu))</f>
        <v>1556.0489869453118</v>
      </c>
      <c r="L289" s="75">
        <v>0</v>
      </c>
      <c r="M289" s="76">
        <f>IFERROR(M288-J289-Kredyt1[[#This Row],[Nadpłata]],"")</f>
        <v>105520.5103510128</v>
      </c>
    </row>
    <row r="290" spans="4:13">
      <c r="D290" s="70" cm="1">
        <f t="array" ref="D290">IF(ROW(285:285)&lt;=IlośćRat,ROW(285:285),"")</f>
        <v>285</v>
      </c>
      <c r="E290" s="70">
        <f>IFERROR(ROUNDUP(Kredyt1[[#This Row],[Miesiąc kredytu]]/12,0),"")</f>
        <v>24</v>
      </c>
      <c r="F290" s="71">
        <f t="shared" si="4"/>
        <v>52749</v>
      </c>
      <c r="G290" s="72" cm="1">
        <f t="array" ref="G290">IF(Kredyt1[[#This Row],[Data]]="","",WIBOR3M)</f>
        <v>0.02</v>
      </c>
      <c r="H290" s="72" cm="1">
        <f t="array" ref="H290">IF(Kredyt1[[#This Row],[Data]]="","",G290+MarżaBAnku)</f>
        <v>0.04</v>
      </c>
      <c r="I290" s="73">
        <f>IF(Kredyt1[[#This Row],[Data]]="","",Kredyt1[[#This Row],[Cała rata]]-Kredyt1[[#This Row],[Kapitał]])</f>
        <v>351.73503450337603</v>
      </c>
      <c r="J290" s="74" cm="1">
        <f t="array" ref="J290">IFERROR(-PPMT(Kredyt1[[#This Row],[Oprocentowanie]]/12,Kredyt1[[#This Row],[Miesiąc kredytu]],IlośćRat,KwotaKredytu),"")</f>
        <v>1204.3139524419357</v>
      </c>
      <c r="K290" s="75" cm="1">
        <f t="array" ref="K290">IF(Kredyt1[[#This Row],[Miesiąc kredytu]]="","",-PMT(Kredyt1[[#This Row],[Oprocentowanie]]/12,IlośćRat,KwotaKredytu))</f>
        <v>1556.0489869453118</v>
      </c>
      <c r="L290" s="75">
        <v>0</v>
      </c>
      <c r="M290" s="76">
        <f>IFERROR(M289-J290-Kredyt1[[#This Row],[Nadpłata]],"")</f>
        <v>104316.19639857086</v>
      </c>
    </row>
    <row r="291" spans="4:13">
      <c r="D291" s="70" cm="1">
        <f t="array" ref="D291">IF(ROW(286:286)&lt;=IlośćRat,ROW(286:286),"")</f>
        <v>286</v>
      </c>
      <c r="E291" s="70">
        <f>IFERROR(ROUNDUP(Kredyt1[[#This Row],[Miesiąc kredytu]]/12,0),"")</f>
        <v>24</v>
      </c>
      <c r="F291" s="71">
        <f t="shared" si="4"/>
        <v>52779</v>
      </c>
      <c r="G291" s="72" cm="1">
        <f t="array" ref="G291">IF(Kredyt1[[#This Row],[Data]]="","",WIBOR3M)</f>
        <v>0.02</v>
      </c>
      <c r="H291" s="72" cm="1">
        <f t="array" ref="H291">IF(Kredyt1[[#This Row],[Data]]="","",G291+MarżaBAnku)</f>
        <v>0.04</v>
      </c>
      <c r="I291" s="73">
        <f>IF(Kredyt1[[#This Row],[Data]]="","",Kredyt1[[#This Row],[Cała rata]]-Kredyt1[[#This Row],[Kapitał]])</f>
        <v>347.72065466190293</v>
      </c>
      <c r="J291" s="74" cm="1">
        <f t="array" ref="J291">IFERROR(-PPMT(Kredyt1[[#This Row],[Oprocentowanie]]/12,Kredyt1[[#This Row],[Miesiąc kredytu]],IlośćRat,KwotaKredytu),"")</f>
        <v>1208.3283322834088</v>
      </c>
      <c r="K291" s="75" cm="1">
        <f t="array" ref="K291">IF(Kredyt1[[#This Row],[Miesiąc kredytu]]="","",-PMT(Kredyt1[[#This Row],[Oprocentowanie]]/12,IlośćRat,KwotaKredytu))</f>
        <v>1556.0489869453118</v>
      </c>
      <c r="L291" s="75">
        <v>0</v>
      </c>
      <c r="M291" s="76">
        <f>IFERROR(M290-J291-Kredyt1[[#This Row],[Nadpłata]],"")</f>
        <v>103107.86806628745</v>
      </c>
    </row>
    <row r="292" spans="4:13">
      <c r="D292" s="70" cm="1">
        <f t="array" ref="D292">IF(ROW(287:287)&lt;=IlośćRat,ROW(287:287),"")</f>
        <v>287</v>
      </c>
      <c r="E292" s="70">
        <f>IFERROR(ROUNDUP(Kredyt1[[#This Row],[Miesiąc kredytu]]/12,0),"")</f>
        <v>24</v>
      </c>
      <c r="F292" s="71">
        <f t="shared" si="4"/>
        <v>52810</v>
      </c>
      <c r="G292" s="72" cm="1">
        <f t="array" ref="G292">IF(Kredyt1[[#This Row],[Data]]="","",WIBOR3M)</f>
        <v>0.02</v>
      </c>
      <c r="H292" s="72" cm="1">
        <f t="array" ref="H292">IF(Kredyt1[[#This Row],[Data]]="","",G292+MarżaBAnku)</f>
        <v>0.04</v>
      </c>
      <c r="I292" s="73">
        <f>IF(Kredyt1[[#This Row],[Data]]="","",Kredyt1[[#This Row],[Cała rata]]-Kredyt1[[#This Row],[Kapitał]])</f>
        <v>343.69289355429146</v>
      </c>
      <c r="J292" s="74" cm="1">
        <f t="array" ref="J292">IFERROR(-PPMT(Kredyt1[[#This Row],[Oprocentowanie]]/12,Kredyt1[[#This Row],[Miesiąc kredytu]],IlośćRat,KwotaKredytu),"")</f>
        <v>1212.3560933910203</v>
      </c>
      <c r="K292" s="75" cm="1">
        <f t="array" ref="K292">IF(Kredyt1[[#This Row],[Miesiąc kredytu]]="","",-PMT(Kredyt1[[#This Row],[Oprocentowanie]]/12,IlośćRat,KwotaKredytu))</f>
        <v>1556.0489869453118</v>
      </c>
      <c r="L292" s="75">
        <v>0</v>
      </c>
      <c r="M292" s="76">
        <f>IFERROR(M291-J292-Kredyt1[[#This Row],[Nadpłata]],"")</f>
        <v>101895.51197289643</v>
      </c>
    </row>
    <row r="293" spans="4:13">
      <c r="D293" s="70" cm="1">
        <f t="array" ref="D293">IF(ROW(288:288)&lt;=IlośćRat,ROW(288:288),"")</f>
        <v>288</v>
      </c>
      <c r="E293" s="70">
        <f>IFERROR(ROUNDUP(Kredyt1[[#This Row],[Miesiąc kredytu]]/12,0),"")</f>
        <v>24</v>
      </c>
      <c r="F293" s="71">
        <f t="shared" si="4"/>
        <v>52841</v>
      </c>
      <c r="G293" s="72" cm="1">
        <f t="array" ref="G293">IF(Kredyt1[[#This Row],[Data]]="","",WIBOR3M)</f>
        <v>0.02</v>
      </c>
      <c r="H293" s="72" cm="1">
        <f t="array" ref="H293">IF(Kredyt1[[#This Row],[Data]]="","",G293+MarżaBAnku)</f>
        <v>0.04</v>
      </c>
      <c r="I293" s="73">
        <f>IF(Kredyt1[[#This Row],[Data]]="","",Kredyt1[[#This Row],[Cała rata]]-Kredyt1[[#This Row],[Kapitał]])</f>
        <v>339.65170657632143</v>
      </c>
      <c r="J293" s="74" cm="1">
        <f t="array" ref="J293">IFERROR(-PPMT(Kredyt1[[#This Row],[Oprocentowanie]]/12,Kredyt1[[#This Row],[Miesiąc kredytu]],IlośćRat,KwotaKredytu),"")</f>
        <v>1216.3972803689903</v>
      </c>
      <c r="K293" s="75" cm="1">
        <f t="array" ref="K293">IF(Kredyt1[[#This Row],[Miesiąc kredytu]]="","",-PMT(Kredyt1[[#This Row],[Oprocentowanie]]/12,IlośćRat,KwotaKredytu))</f>
        <v>1556.0489869453118</v>
      </c>
      <c r="L293" s="75">
        <v>0</v>
      </c>
      <c r="M293" s="76">
        <f>IFERROR(M292-J293-Kredyt1[[#This Row],[Nadpłata]],"")</f>
        <v>100679.11469252745</v>
      </c>
    </row>
    <row r="294" spans="4:13">
      <c r="D294" s="70" cm="1">
        <f t="array" ref="D294">IF(ROW(289:289)&lt;=IlośćRat,ROW(289:289),"")</f>
        <v>289</v>
      </c>
      <c r="E294" s="70">
        <f>IFERROR(ROUNDUP(Kredyt1[[#This Row],[Miesiąc kredytu]]/12,0),"")</f>
        <v>25</v>
      </c>
      <c r="F294" s="71">
        <f t="shared" si="4"/>
        <v>52871</v>
      </c>
      <c r="G294" s="72" cm="1">
        <f t="array" ref="G294">IF(Kredyt1[[#This Row],[Data]]="","",WIBOR3M)</f>
        <v>0.02</v>
      </c>
      <c r="H294" s="72" cm="1">
        <f t="array" ref="H294">IF(Kredyt1[[#This Row],[Data]]="","",G294+MarżaBAnku)</f>
        <v>0.04</v>
      </c>
      <c r="I294" s="73">
        <f>IF(Kredyt1[[#This Row],[Data]]="","",Kredyt1[[#This Row],[Cała rata]]-Kredyt1[[#This Row],[Kapitał]])</f>
        <v>335.59704897509141</v>
      </c>
      <c r="J294" s="74" cm="1">
        <f t="array" ref="J294">IFERROR(-PPMT(Kredyt1[[#This Row],[Oprocentowanie]]/12,Kredyt1[[#This Row],[Miesiąc kredytu]],IlośćRat,KwotaKredytu),"")</f>
        <v>1220.4519379702203</v>
      </c>
      <c r="K294" s="75" cm="1">
        <f t="array" ref="K294">IF(Kredyt1[[#This Row],[Miesiąc kredytu]]="","",-PMT(Kredyt1[[#This Row],[Oprocentowanie]]/12,IlośćRat,KwotaKredytu))</f>
        <v>1556.0489869453118</v>
      </c>
      <c r="L294" s="75">
        <v>0</v>
      </c>
      <c r="M294" s="76">
        <f>IFERROR(M293-J294-Kredyt1[[#This Row],[Nadpłata]],"")</f>
        <v>99458.662754557226</v>
      </c>
    </row>
    <row r="295" spans="4:13">
      <c r="D295" s="70" cm="1">
        <f t="array" ref="D295">IF(ROW(290:290)&lt;=IlośćRat,ROW(290:290),"")</f>
        <v>290</v>
      </c>
      <c r="E295" s="70">
        <f>IFERROR(ROUNDUP(Kredyt1[[#This Row],[Miesiąc kredytu]]/12,0),"")</f>
        <v>25</v>
      </c>
      <c r="F295" s="71">
        <f t="shared" si="4"/>
        <v>52902</v>
      </c>
      <c r="G295" s="72" cm="1">
        <f t="array" ref="G295">IF(Kredyt1[[#This Row],[Data]]="","",WIBOR3M)</f>
        <v>0.02</v>
      </c>
      <c r="H295" s="72" cm="1">
        <f t="array" ref="H295">IF(Kredyt1[[#This Row],[Data]]="","",G295+MarżaBAnku)</f>
        <v>0.04</v>
      </c>
      <c r="I295" s="73">
        <f>IF(Kredyt1[[#This Row],[Data]]="","",Kredyt1[[#This Row],[Cała rata]]-Kredyt1[[#This Row],[Kapitał]])</f>
        <v>331.52887584852397</v>
      </c>
      <c r="J295" s="74" cm="1">
        <f t="array" ref="J295">IFERROR(-PPMT(Kredyt1[[#This Row],[Oprocentowanie]]/12,Kredyt1[[#This Row],[Miesiąc kredytu]],IlośćRat,KwotaKredytu),"")</f>
        <v>1224.5201110967878</v>
      </c>
      <c r="K295" s="75" cm="1">
        <f t="array" ref="K295">IF(Kredyt1[[#This Row],[Miesiąc kredytu]]="","",-PMT(Kredyt1[[#This Row],[Oprocentowanie]]/12,IlośćRat,KwotaKredytu))</f>
        <v>1556.0489869453118</v>
      </c>
      <c r="L295" s="75">
        <v>0</v>
      </c>
      <c r="M295" s="76">
        <f>IFERROR(M294-J295-Kredyt1[[#This Row],[Nadpłata]],"")</f>
        <v>98234.142643460436</v>
      </c>
    </row>
    <row r="296" spans="4:13">
      <c r="D296" s="70" cm="1">
        <f t="array" ref="D296">IF(ROW(291:291)&lt;=IlośćRat,ROW(291:291),"")</f>
        <v>291</v>
      </c>
      <c r="E296" s="70">
        <f>IFERROR(ROUNDUP(Kredyt1[[#This Row],[Miesiąc kredytu]]/12,0),"")</f>
        <v>25</v>
      </c>
      <c r="F296" s="71">
        <f t="shared" si="4"/>
        <v>52932</v>
      </c>
      <c r="G296" s="72" cm="1">
        <f t="array" ref="G296">IF(Kredyt1[[#This Row],[Data]]="","",WIBOR3M)</f>
        <v>0.02</v>
      </c>
      <c r="H296" s="72" cm="1">
        <f t="array" ref="H296">IF(Kredyt1[[#This Row],[Data]]="","",G296+MarżaBAnku)</f>
        <v>0.04</v>
      </c>
      <c r="I296" s="73">
        <f>IF(Kredyt1[[#This Row],[Data]]="","",Kredyt1[[#This Row],[Cała rata]]-Kredyt1[[#This Row],[Kapitał]])</f>
        <v>327.44714214486817</v>
      </c>
      <c r="J296" s="74" cm="1">
        <f t="array" ref="J296">IFERROR(-PPMT(Kredyt1[[#This Row],[Oprocentowanie]]/12,Kredyt1[[#This Row],[Miesiąc kredytu]],IlośćRat,KwotaKredytu),"")</f>
        <v>1228.6018448004436</v>
      </c>
      <c r="K296" s="75" cm="1">
        <f t="array" ref="K296">IF(Kredyt1[[#This Row],[Miesiąc kredytu]]="","",-PMT(Kredyt1[[#This Row],[Oprocentowanie]]/12,IlośćRat,KwotaKredytu))</f>
        <v>1556.0489869453118</v>
      </c>
      <c r="L296" s="75">
        <v>0</v>
      </c>
      <c r="M296" s="76">
        <f>IFERROR(M295-J296-Kredyt1[[#This Row],[Nadpłata]],"")</f>
        <v>97005.540798659989</v>
      </c>
    </row>
    <row r="297" spans="4:13">
      <c r="D297" s="70" cm="1">
        <f t="array" ref="D297">IF(ROW(292:292)&lt;=IlośćRat,ROW(292:292),"")</f>
        <v>292</v>
      </c>
      <c r="E297" s="70">
        <f>IFERROR(ROUNDUP(Kredyt1[[#This Row],[Miesiąc kredytu]]/12,0),"")</f>
        <v>25</v>
      </c>
      <c r="F297" s="71">
        <f t="shared" si="4"/>
        <v>52963</v>
      </c>
      <c r="G297" s="72" cm="1">
        <f t="array" ref="G297">IF(Kredyt1[[#This Row],[Data]]="","",WIBOR3M)</f>
        <v>0.02</v>
      </c>
      <c r="H297" s="72" cm="1">
        <f t="array" ref="H297">IF(Kredyt1[[#This Row],[Data]]="","",G297+MarżaBAnku)</f>
        <v>0.04</v>
      </c>
      <c r="I297" s="73">
        <f>IF(Kredyt1[[#This Row],[Data]]="","",Kredyt1[[#This Row],[Cała rata]]-Kredyt1[[#This Row],[Kapitał]])</f>
        <v>323.35180266220004</v>
      </c>
      <c r="J297" s="74" cm="1">
        <f t="array" ref="J297">IFERROR(-PPMT(Kredyt1[[#This Row],[Oprocentowanie]]/12,Kredyt1[[#This Row],[Miesiąc kredytu]],IlośćRat,KwotaKredytu),"")</f>
        <v>1232.6971842831117</v>
      </c>
      <c r="K297" s="75" cm="1">
        <f t="array" ref="K297">IF(Kredyt1[[#This Row],[Miesiąc kredytu]]="","",-PMT(Kredyt1[[#This Row],[Oprocentowanie]]/12,IlośćRat,KwotaKredytu))</f>
        <v>1556.0489869453118</v>
      </c>
      <c r="L297" s="75">
        <v>0</v>
      </c>
      <c r="M297" s="76">
        <f>IFERROR(M296-J297-Kredyt1[[#This Row],[Nadpłata]],"")</f>
        <v>95772.843614376878</v>
      </c>
    </row>
    <row r="298" spans="4:13">
      <c r="D298" s="70" cm="1">
        <f t="array" ref="D298">IF(ROW(293:293)&lt;=IlośćRat,ROW(293:293),"")</f>
        <v>293</v>
      </c>
      <c r="E298" s="70">
        <f>IFERROR(ROUNDUP(Kredyt1[[#This Row],[Miesiąc kredytu]]/12,0),"")</f>
        <v>25</v>
      </c>
      <c r="F298" s="71">
        <f t="shared" si="4"/>
        <v>52994</v>
      </c>
      <c r="G298" s="72" cm="1">
        <f t="array" ref="G298">IF(Kredyt1[[#This Row],[Data]]="","",WIBOR3M)</f>
        <v>0.02</v>
      </c>
      <c r="H298" s="72" cm="1">
        <f t="array" ref="H298">IF(Kredyt1[[#This Row],[Data]]="","",G298+MarżaBAnku)</f>
        <v>0.04</v>
      </c>
      <c r="I298" s="73">
        <f>IF(Kredyt1[[#This Row],[Data]]="","",Kredyt1[[#This Row],[Cała rata]]-Kredyt1[[#This Row],[Kapitał]])</f>
        <v>319.24281204792283</v>
      </c>
      <c r="J298" s="74" cm="1">
        <f t="array" ref="J298">IFERROR(-PPMT(Kredyt1[[#This Row],[Oprocentowanie]]/12,Kredyt1[[#This Row],[Miesiąc kredytu]],IlośćRat,KwotaKredytu),"")</f>
        <v>1236.8061748973889</v>
      </c>
      <c r="K298" s="75" cm="1">
        <f t="array" ref="K298">IF(Kredyt1[[#This Row],[Miesiąc kredytu]]="","",-PMT(Kredyt1[[#This Row],[Oprocentowanie]]/12,IlośćRat,KwotaKredytu))</f>
        <v>1556.0489869453118</v>
      </c>
      <c r="L298" s="75">
        <v>0</v>
      </c>
      <c r="M298" s="76">
        <f>IFERROR(M297-J298-Kredyt1[[#This Row],[Nadpłata]],"")</f>
        <v>94536.037439479493</v>
      </c>
    </row>
    <row r="299" spans="4:13">
      <c r="D299" s="70" cm="1">
        <f t="array" ref="D299">IF(ROW(294:294)&lt;=IlośćRat,ROW(294:294),"")</f>
        <v>294</v>
      </c>
      <c r="E299" s="70">
        <f>IFERROR(ROUNDUP(Kredyt1[[#This Row],[Miesiąc kredytu]]/12,0),"")</f>
        <v>25</v>
      </c>
      <c r="F299" s="71">
        <f t="shared" si="4"/>
        <v>53022</v>
      </c>
      <c r="G299" s="72" cm="1">
        <f t="array" ref="G299">IF(Kredyt1[[#This Row],[Data]]="","",WIBOR3M)</f>
        <v>0.02</v>
      </c>
      <c r="H299" s="72" cm="1">
        <f t="array" ref="H299">IF(Kredyt1[[#This Row],[Data]]="","",G299+MarżaBAnku)</f>
        <v>0.04</v>
      </c>
      <c r="I299" s="73">
        <f>IF(Kredyt1[[#This Row],[Data]]="","",Kredyt1[[#This Row],[Cała rata]]-Kredyt1[[#This Row],[Kapitał]])</f>
        <v>315.1201247982649</v>
      </c>
      <c r="J299" s="74" cm="1">
        <f t="array" ref="J299">IFERROR(-PPMT(Kredyt1[[#This Row],[Oprocentowanie]]/12,Kredyt1[[#This Row],[Miesiąc kredytu]],IlośćRat,KwotaKredytu),"")</f>
        <v>1240.9288621470469</v>
      </c>
      <c r="K299" s="75" cm="1">
        <f t="array" ref="K299">IF(Kredyt1[[#This Row],[Miesiąc kredytu]]="","",-PMT(Kredyt1[[#This Row],[Oprocentowanie]]/12,IlośćRat,KwotaKredytu))</f>
        <v>1556.0489869453118</v>
      </c>
      <c r="L299" s="75">
        <v>0</v>
      </c>
      <c r="M299" s="76">
        <f>IFERROR(M298-J299-Kredyt1[[#This Row],[Nadpłata]],"")</f>
        <v>93295.108577332445</v>
      </c>
    </row>
    <row r="300" spans="4:13">
      <c r="D300" s="70" cm="1">
        <f t="array" ref="D300">IF(ROW(295:295)&lt;=IlośćRat,ROW(295:295),"")</f>
        <v>295</v>
      </c>
      <c r="E300" s="70">
        <f>IFERROR(ROUNDUP(Kredyt1[[#This Row],[Miesiąc kredytu]]/12,0),"")</f>
        <v>25</v>
      </c>
      <c r="F300" s="71">
        <f t="shared" si="4"/>
        <v>53053</v>
      </c>
      <c r="G300" s="72" cm="1">
        <f t="array" ref="G300">IF(Kredyt1[[#This Row],[Data]]="","",WIBOR3M)</f>
        <v>0.02</v>
      </c>
      <c r="H300" s="72" cm="1">
        <f t="array" ref="H300">IF(Kredyt1[[#This Row],[Data]]="","",G300+MarżaBAnku)</f>
        <v>0.04</v>
      </c>
      <c r="I300" s="73">
        <f>IF(Kredyt1[[#This Row],[Data]]="","",Kredyt1[[#This Row],[Cała rata]]-Kredyt1[[#This Row],[Kapitał]])</f>
        <v>310.9836952577748</v>
      </c>
      <c r="J300" s="74" cm="1">
        <f t="array" ref="J300">IFERROR(-PPMT(Kredyt1[[#This Row],[Oprocentowanie]]/12,Kredyt1[[#This Row],[Miesiąc kredytu]],IlośćRat,KwotaKredytu),"")</f>
        <v>1245.065291687537</v>
      </c>
      <c r="K300" s="75" cm="1">
        <f t="array" ref="K300">IF(Kredyt1[[#This Row],[Miesiąc kredytu]]="","",-PMT(Kredyt1[[#This Row],[Oprocentowanie]]/12,IlośćRat,KwotaKredytu))</f>
        <v>1556.0489869453118</v>
      </c>
      <c r="L300" s="75">
        <v>0</v>
      </c>
      <c r="M300" s="76">
        <f>IFERROR(M299-J300-Kredyt1[[#This Row],[Nadpłata]],"")</f>
        <v>92050.043285644904</v>
      </c>
    </row>
    <row r="301" spans="4:13">
      <c r="D301" s="70" cm="1">
        <f t="array" ref="D301">IF(ROW(296:296)&lt;=IlośćRat,ROW(296:296),"")</f>
        <v>296</v>
      </c>
      <c r="E301" s="70">
        <f>IFERROR(ROUNDUP(Kredyt1[[#This Row],[Miesiąc kredytu]]/12,0),"")</f>
        <v>25</v>
      </c>
      <c r="F301" s="71">
        <f t="shared" si="4"/>
        <v>53083</v>
      </c>
      <c r="G301" s="72" cm="1">
        <f t="array" ref="G301">IF(Kredyt1[[#This Row],[Data]]="","",WIBOR3M)</f>
        <v>0.02</v>
      </c>
      <c r="H301" s="72" cm="1">
        <f t="array" ref="H301">IF(Kredyt1[[#This Row],[Data]]="","",G301+MarżaBAnku)</f>
        <v>0.04</v>
      </c>
      <c r="I301" s="73">
        <f>IF(Kredyt1[[#This Row],[Data]]="","",Kredyt1[[#This Row],[Cała rata]]-Kredyt1[[#This Row],[Kapitał]])</f>
        <v>306.83347761881623</v>
      </c>
      <c r="J301" s="74" cm="1">
        <f t="array" ref="J301">IFERROR(-PPMT(Kredyt1[[#This Row],[Oprocentowanie]]/12,Kredyt1[[#This Row],[Miesiąc kredytu]],IlośćRat,KwotaKredytu),"")</f>
        <v>1249.2155093264955</v>
      </c>
      <c r="K301" s="75" cm="1">
        <f t="array" ref="K301">IF(Kredyt1[[#This Row],[Miesiąc kredytu]]="","",-PMT(Kredyt1[[#This Row],[Oprocentowanie]]/12,IlośćRat,KwotaKredytu))</f>
        <v>1556.0489869453118</v>
      </c>
      <c r="L301" s="75">
        <v>0</v>
      </c>
      <c r="M301" s="76">
        <f>IFERROR(M300-J301-Kredyt1[[#This Row],[Nadpłata]],"")</f>
        <v>90800.827776318416</v>
      </c>
    </row>
    <row r="302" spans="4:13">
      <c r="D302" s="70" cm="1">
        <f t="array" ref="D302">IF(ROW(297:297)&lt;=IlośćRat,ROW(297:297),"")</f>
        <v>297</v>
      </c>
      <c r="E302" s="70">
        <f>IFERROR(ROUNDUP(Kredyt1[[#This Row],[Miesiąc kredytu]]/12,0),"")</f>
        <v>25</v>
      </c>
      <c r="F302" s="71">
        <f t="shared" si="4"/>
        <v>53114</v>
      </c>
      <c r="G302" s="72" cm="1">
        <f t="array" ref="G302">IF(Kredyt1[[#This Row],[Data]]="","",WIBOR3M)</f>
        <v>0.02</v>
      </c>
      <c r="H302" s="72" cm="1">
        <f t="array" ref="H302">IF(Kredyt1[[#This Row],[Data]]="","",G302+MarżaBAnku)</f>
        <v>0.04</v>
      </c>
      <c r="I302" s="73">
        <f>IF(Kredyt1[[#This Row],[Data]]="","",Kredyt1[[#This Row],[Cała rata]]-Kredyt1[[#This Row],[Kapitał]])</f>
        <v>302.66942592106125</v>
      </c>
      <c r="J302" s="74" cm="1">
        <f t="array" ref="J302">IFERROR(-PPMT(Kredyt1[[#This Row],[Oprocentowanie]]/12,Kredyt1[[#This Row],[Miesiąc kredytu]],IlośćRat,KwotaKredytu),"")</f>
        <v>1253.3795610242505</v>
      </c>
      <c r="K302" s="75" cm="1">
        <f t="array" ref="K302">IF(Kredyt1[[#This Row],[Miesiąc kredytu]]="","",-PMT(Kredyt1[[#This Row],[Oprocentowanie]]/12,IlośćRat,KwotaKredytu))</f>
        <v>1556.0489869453118</v>
      </c>
      <c r="L302" s="75">
        <v>0</v>
      </c>
      <c r="M302" s="76">
        <f>IFERROR(M301-J302-Kredyt1[[#This Row],[Nadpłata]],"")</f>
        <v>89547.448215294164</v>
      </c>
    </row>
    <row r="303" spans="4:13">
      <c r="D303" s="70" cm="1">
        <f t="array" ref="D303">IF(ROW(298:298)&lt;=IlośćRat,ROW(298:298),"")</f>
        <v>298</v>
      </c>
      <c r="E303" s="70">
        <f>IFERROR(ROUNDUP(Kredyt1[[#This Row],[Miesiąc kredytu]]/12,0),"")</f>
        <v>25</v>
      </c>
      <c r="F303" s="71">
        <f t="shared" si="4"/>
        <v>53144</v>
      </c>
      <c r="G303" s="72" cm="1">
        <f t="array" ref="G303">IF(Kredyt1[[#This Row],[Data]]="","",WIBOR3M)</f>
        <v>0.02</v>
      </c>
      <c r="H303" s="72" cm="1">
        <f t="array" ref="H303">IF(Kredyt1[[#This Row],[Data]]="","",G303+MarżaBAnku)</f>
        <v>0.04</v>
      </c>
      <c r="I303" s="73">
        <f>IF(Kredyt1[[#This Row],[Data]]="","",Kredyt1[[#This Row],[Cała rata]]-Kredyt1[[#This Row],[Kapitał]])</f>
        <v>298.49149405098046</v>
      </c>
      <c r="J303" s="74" cm="1">
        <f t="array" ref="J303">IFERROR(-PPMT(Kredyt1[[#This Row],[Oprocentowanie]]/12,Kredyt1[[#This Row],[Miesiąc kredytu]],IlośćRat,KwotaKredytu),"")</f>
        <v>1257.5574928943313</v>
      </c>
      <c r="K303" s="75" cm="1">
        <f t="array" ref="K303">IF(Kredyt1[[#This Row],[Miesiąc kredytu]]="","",-PMT(Kredyt1[[#This Row],[Oprocentowanie]]/12,IlośćRat,KwotaKredytu))</f>
        <v>1556.0489869453118</v>
      </c>
      <c r="L303" s="75">
        <v>0</v>
      </c>
      <c r="M303" s="76">
        <f>IFERROR(M302-J303-Kredyt1[[#This Row],[Nadpłata]],"")</f>
        <v>88289.890722399839</v>
      </c>
    </row>
    <row r="304" spans="4:13">
      <c r="D304" s="70" cm="1">
        <f t="array" ref="D304">IF(ROW(299:299)&lt;=IlośćRat,ROW(299:299),"")</f>
        <v>299</v>
      </c>
      <c r="E304" s="70">
        <f>IFERROR(ROUNDUP(Kredyt1[[#This Row],[Miesiąc kredytu]]/12,0),"")</f>
        <v>25</v>
      </c>
      <c r="F304" s="71">
        <f t="shared" si="4"/>
        <v>53175</v>
      </c>
      <c r="G304" s="72" cm="1">
        <f t="array" ref="G304">IF(Kredyt1[[#This Row],[Data]]="","",WIBOR3M)</f>
        <v>0.02</v>
      </c>
      <c r="H304" s="72" cm="1">
        <f t="array" ref="H304">IF(Kredyt1[[#This Row],[Data]]="","",G304+MarżaBAnku)</f>
        <v>0.04</v>
      </c>
      <c r="I304" s="73">
        <f>IF(Kredyt1[[#This Row],[Data]]="","",Kredyt1[[#This Row],[Cała rata]]-Kredyt1[[#This Row],[Kapitał]])</f>
        <v>294.29963574133262</v>
      </c>
      <c r="J304" s="74" cm="1">
        <f t="array" ref="J304">IFERROR(-PPMT(Kredyt1[[#This Row],[Oprocentowanie]]/12,Kredyt1[[#This Row],[Miesiąc kredytu]],IlośćRat,KwotaKredytu),"")</f>
        <v>1261.7493512039791</v>
      </c>
      <c r="K304" s="75" cm="1">
        <f t="array" ref="K304">IF(Kredyt1[[#This Row],[Miesiąc kredytu]]="","",-PMT(Kredyt1[[#This Row],[Oprocentowanie]]/12,IlośćRat,KwotaKredytu))</f>
        <v>1556.0489869453118</v>
      </c>
      <c r="L304" s="75">
        <v>0</v>
      </c>
      <c r="M304" s="76">
        <f>IFERROR(M303-J304-Kredyt1[[#This Row],[Nadpłata]],"")</f>
        <v>87028.141371195859</v>
      </c>
    </row>
    <row r="305" spans="4:13">
      <c r="D305" s="70" cm="1">
        <f t="array" ref="D305">IF(ROW(300:300)&lt;=IlośćRat,ROW(300:300),"")</f>
        <v>300</v>
      </c>
      <c r="E305" s="70">
        <f>IFERROR(ROUNDUP(Kredyt1[[#This Row],[Miesiąc kredytu]]/12,0),"")</f>
        <v>25</v>
      </c>
      <c r="F305" s="71">
        <f t="shared" si="4"/>
        <v>53206</v>
      </c>
      <c r="G305" s="72" cm="1">
        <f t="array" ref="G305">IF(Kredyt1[[#This Row],[Data]]="","",WIBOR3M)</f>
        <v>0.02</v>
      </c>
      <c r="H305" s="72" cm="1">
        <f t="array" ref="H305">IF(Kredyt1[[#This Row],[Data]]="","",G305+MarżaBAnku)</f>
        <v>0.04</v>
      </c>
      <c r="I305" s="73">
        <f>IF(Kredyt1[[#This Row],[Data]]="","",Kredyt1[[#This Row],[Cała rata]]-Kredyt1[[#This Row],[Kapitał]])</f>
        <v>290.09380457065299</v>
      </c>
      <c r="J305" s="74" cm="1">
        <f t="array" ref="J305">IFERROR(-PPMT(Kredyt1[[#This Row],[Oprocentowanie]]/12,Kredyt1[[#This Row],[Miesiąc kredytu]],IlośćRat,KwotaKredytu),"")</f>
        <v>1265.9551823746588</v>
      </c>
      <c r="K305" s="75" cm="1">
        <f t="array" ref="K305">IF(Kredyt1[[#This Row],[Miesiąc kredytu]]="","",-PMT(Kredyt1[[#This Row],[Oprocentowanie]]/12,IlośćRat,KwotaKredytu))</f>
        <v>1556.0489869453118</v>
      </c>
      <c r="L305" s="75">
        <v>0</v>
      </c>
      <c r="M305" s="76">
        <f>IFERROR(M304-J305-Kredyt1[[#This Row],[Nadpłata]],"")</f>
        <v>85762.186188821201</v>
      </c>
    </row>
    <row r="306" spans="4:13">
      <c r="D306" s="70" cm="1">
        <f t="array" ref="D306">IF(ROW(301:301)&lt;=IlośćRat,ROW(301:301),"")</f>
        <v>301</v>
      </c>
      <c r="E306" s="70">
        <f>IFERROR(ROUNDUP(Kredyt1[[#This Row],[Miesiąc kredytu]]/12,0),"")</f>
        <v>26</v>
      </c>
      <c r="F306" s="71">
        <f t="shared" si="4"/>
        <v>53236</v>
      </c>
      <c r="G306" s="72" cm="1">
        <f t="array" ref="G306">IF(Kredyt1[[#This Row],[Data]]="","",WIBOR3M)</f>
        <v>0.02</v>
      </c>
      <c r="H306" s="72" cm="1">
        <f t="array" ref="H306">IF(Kredyt1[[#This Row],[Data]]="","",G306+MarżaBAnku)</f>
        <v>0.04</v>
      </c>
      <c r="I306" s="73">
        <f>IF(Kredyt1[[#This Row],[Data]]="","",Kredyt1[[#This Row],[Cała rata]]-Kredyt1[[#This Row],[Kapitał]])</f>
        <v>285.87395396273723</v>
      </c>
      <c r="J306" s="74" cm="1">
        <f t="array" ref="J306">IFERROR(-PPMT(Kredyt1[[#This Row],[Oprocentowanie]]/12,Kredyt1[[#This Row],[Miesiąc kredytu]],IlośćRat,KwotaKredytu),"")</f>
        <v>1270.1750329825745</v>
      </c>
      <c r="K306" s="75" cm="1">
        <f t="array" ref="K306">IF(Kredyt1[[#This Row],[Miesiąc kredytu]]="","",-PMT(Kredyt1[[#This Row],[Oprocentowanie]]/12,IlośćRat,KwotaKredytu))</f>
        <v>1556.0489869453118</v>
      </c>
      <c r="L306" s="75">
        <v>0</v>
      </c>
      <c r="M306" s="76">
        <f>IFERROR(M305-J306-Kredyt1[[#This Row],[Nadpłata]],"")</f>
        <v>84492.011155838627</v>
      </c>
    </row>
    <row r="307" spans="4:13">
      <c r="D307" s="70" cm="1">
        <f t="array" ref="D307">IF(ROW(302:302)&lt;=IlośćRat,ROW(302:302),"")</f>
        <v>302</v>
      </c>
      <c r="E307" s="70">
        <f>IFERROR(ROUNDUP(Kredyt1[[#This Row],[Miesiąc kredytu]]/12,0),"")</f>
        <v>26</v>
      </c>
      <c r="F307" s="71">
        <f t="shared" si="4"/>
        <v>53267</v>
      </c>
      <c r="G307" s="72" cm="1">
        <f t="array" ref="G307">IF(Kredyt1[[#This Row],[Data]]="","",WIBOR3M)</f>
        <v>0.02</v>
      </c>
      <c r="H307" s="72" cm="1">
        <f t="array" ref="H307">IF(Kredyt1[[#This Row],[Data]]="","",G307+MarżaBAnku)</f>
        <v>0.04</v>
      </c>
      <c r="I307" s="73">
        <f>IF(Kredyt1[[#This Row],[Data]]="","",Kredyt1[[#This Row],[Cała rata]]-Kredyt1[[#This Row],[Kapitał]])</f>
        <v>281.64003718612867</v>
      </c>
      <c r="J307" s="74" cm="1">
        <f t="array" ref="J307">IFERROR(-PPMT(Kredyt1[[#This Row],[Oprocentowanie]]/12,Kredyt1[[#This Row],[Miesiąc kredytu]],IlośćRat,KwotaKredytu),"")</f>
        <v>1274.4089497591831</v>
      </c>
      <c r="K307" s="75" cm="1">
        <f t="array" ref="K307">IF(Kredyt1[[#This Row],[Miesiąc kredytu]]="","",-PMT(Kredyt1[[#This Row],[Oprocentowanie]]/12,IlośćRat,KwotaKredytu))</f>
        <v>1556.0489869453118</v>
      </c>
      <c r="L307" s="75">
        <v>0</v>
      </c>
      <c r="M307" s="76">
        <f>IFERROR(M306-J307-Kredyt1[[#This Row],[Nadpłata]],"")</f>
        <v>83217.602206079449</v>
      </c>
    </row>
    <row r="308" spans="4:13">
      <c r="D308" s="70" cm="1">
        <f t="array" ref="D308">IF(ROW(303:303)&lt;=IlośćRat,ROW(303:303),"")</f>
        <v>303</v>
      </c>
      <c r="E308" s="70">
        <f>IFERROR(ROUNDUP(Kredyt1[[#This Row],[Miesiąc kredytu]]/12,0),"")</f>
        <v>26</v>
      </c>
      <c r="F308" s="71">
        <f t="shared" si="4"/>
        <v>53297</v>
      </c>
      <c r="G308" s="72" cm="1">
        <f t="array" ref="G308">IF(Kredyt1[[#This Row],[Data]]="","",WIBOR3M)</f>
        <v>0.02</v>
      </c>
      <c r="H308" s="72" cm="1">
        <f t="array" ref="H308">IF(Kredyt1[[#This Row],[Data]]="","",G308+MarżaBAnku)</f>
        <v>0.04</v>
      </c>
      <c r="I308" s="73">
        <f>IF(Kredyt1[[#This Row],[Data]]="","",Kredyt1[[#This Row],[Cała rata]]-Kredyt1[[#This Row],[Kapitał]])</f>
        <v>277.39200735359782</v>
      </c>
      <c r="J308" s="74" cm="1">
        <f t="array" ref="J308">IFERROR(-PPMT(Kredyt1[[#This Row],[Oprocentowanie]]/12,Kredyt1[[#This Row],[Miesiąc kredytu]],IlośćRat,KwotaKredytu),"")</f>
        <v>1278.6569795917139</v>
      </c>
      <c r="K308" s="75" cm="1">
        <f t="array" ref="K308">IF(Kredyt1[[#This Row],[Miesiąc kredytu]]="","",-PMT(Kredyt1[[#This Row],[Oprocentowanie]]/12,IlośćRat,KwotaKredytu))</f>
        <v>1556.0489869453118</v>
      </c>
      <c r="L308" s="75">
        <v>0</v>
      </c>
      <c r="M308" s="76">
        <f>IFERROR(M307-J308-Kredyt1[[#This Row],[Nadpłata]],"")</f>
        <v>81938.945226487733</v>
      </c>
    </row>
    <row r="309" spans="4:13">
      <c r="D309" s="70" cm="1">
        <f t="array" ref="D309">IF(ROW(304:304)&lt;=IlośćRat,ROW(304:304),"")</f>
        <v>304</v>
      </c>
      <c r="E309" s="70">
        <f>IFERROR(ROUNDUP(Kredyt1[[#This Row],[Miesiąc kredytu]]/12,0),"")</f>
        <v>26</v>
      </c>
      <c r="F309" s="71">
        <f t="shared" si="4"/>
        <v>53328</v>
      </c>
      <c r="G309" s="72" cm="1">
        <f t="array" ref="G309">IF(Kredyt1[[#This Row],[Data]]="","",WIBOR3M)</f>
        <v>0.02</v>
      </c>
      <c r="H309" s="72" cm="1">
        <f t="array" ref="H309">IF(Kredyt1[[#This Row],[Data]]="","",G309+MarżaBAnku)</f>
        <v>0.04</v>
      </c>
      <c r="I309" s="73">
        <f>IF(Kredyt1[[#This Row],[Data]]="","",Kredyt1[[#This Row],[Cała rata]]-Kredyt1[[#This Row],[Kapitał]])</f>
        <v>273.12981742162583</v>
      </c>
      <c r="J309" s="74" cm="1">
        <f t="array" ref="J309">IFERROR(-PPMT(Kredyt1[[#This Row],[Oprocentowanie]]/12,Kredyt1[[#This Row],[Miesiąc kredytu]],IlośćRat,KwotaKredytu),"")</f>
        <v>1282.9191695236859</v>
      </c>
      <c r="K309" s="75" cm="1">
        <f t="array" ref="K309">IF(Kredyt1[[#This Row],[Miesiąc kredytu]]="","",-PMT(Kredyt1[[#This Row],[Oprocentowanie]]/12,IlośćRat,KwotaKredytu))</f>
        <v>1556.0489869453118</v>
      </c>
      <c r="L309" s="75">
        <v>0</v>
      </c>
      <c r="M309" s="76">
        <f>IFERROR(M308-J309-Kredyt1[[#This Row],[Nadpłata]],"")</f>
        <v>80656.026056964052</v>
      </c>
    </row>
    <row r="310" spans="4:13">
      <c r="D310" s="70" cm="1">
        <f t="array" ref="D310">IF(ROW(305:305)&lt;=IlośćRat,ROW(305:305),"")</f>
        <v>305</v>
      </c>
      <c r="E310" s="70">
        <f>IFERROR(ROUNDUP(Kredyt1[[#This Row],[Miesiąc kredytu]]/12,0),"")</f>
        <v>26</v>
      </c>
      <c r="F310" s="71">
        <f t="shared" si="4"/>
        <v>53359</v>
      </c>
      <c r="G310" s="72" cm="1">
        <f t="array" ref="G310">IF(Kredyt1[[#This Row],[Data]]="","",WIBOR3M)</f>
        <v>0.02</v>
      </c>
      <c r="H310" s="72" cm="1">
        <f t="array" ref="H310">IF(Kredyt1[[#This Row],[Data]]="","",G310+MarżaBAnku)</f>
        <v>0.04</v>
      </c>
      <c r="I310" s="73">
        <f>IF(Kredyt1[[#This Row],[Data]]="","",Kredyt1[[#This Row],[Cała rata]]-Kredyt1[[#This Row],[Kapitał]])</f>
        <v>268.85342018988013</v>
      </c>
      <c r="J310" s="74" cm="1">
        <f t="array" ref="J310">IFERROR(-PPMT(Kredyt1[[#This Row],[Oprocentowanie]]/12,Kredyt1[[#This Row],[Miesiąc kredytu]],IlośćRat,KwotaKredytu),"")</f>
        <v>1287.1955667554316</v>
      </c>
      <c r="K310" s="75" cm="1">
        <f t="array" ref="K310">IF(Kredyt1[[#This Row],[Miesiąc kredytu]]="","",-PMT(Kredyt1[[#This Row],[Oprocentowanie]]/12,IlośćRat,KwotaKredytu))</f>
        <v>1556.0489869453118</v>
      </c>
      <c r="L310" s="75">
        <v>0</v>
      </c>
      <c r="M310" s="76">
        <f>IFERROR(M309-J310-Kredyt1[[#This Row],[Nadpłata]],"")</f>
        <v>79368.830490208624</v>
      </c>
    </row>
    <row r="311" spans="4:13">
      <c r="D311" s="70" cm="1">
        <f t="array" ref="D311">IF(ROW(306:306)&lt;=IlośćRat,ROW(306:306),"")</f>
        <v>306</v>
      </c>
      <c r="E311" s="70">
        <f>IFERROR(ROUNDUP(Kredyt1[[#This Row],[Miesiąc kredytu]]/12,0),"")</f>
        <v>26</v>
      </c>
      <c r="F311" s="71">
        <f t="shared" si="4"/>
        <v>53387</v>
      </c>
      <c r="G311" s="72" cm="1">
        <f t="array" ref="G311">IF(Kredyt1[[#This Row],[Data]]="","",WIBOR3M)</f>
        <v>0.02</v>
      </c>
      <c r="H311" s="72" cm="1">
        <f t="array" ref="H311">IF(Kredyt1[[#This Row],[Data]]="","",G311+MarżaBAnku)</f>
        <v>0.04</v>
      </c>
      <c r="I311" s="73">
        <f>IF(Kredyt1[[#This Row],[Data]]="","",Kredyt1[[#This Row],[Cała rata]]-Kredyt1[[#This Row],[Kapitał]])</f>
        <v>264.56276830069532</v>
      </c>
      <c r="J311" s="74" cm="1">
        <f t="array" ref="J311">IFERROR(-PPMT(Kredyt1[[#This Row],[Oprocentowanie]]/12,Kredyt1[[#This Row],[Miesiąc kredytu]],IlośćRat,KwotaKredytu),"")</f>
        <v>1291.4862186446164</v>
      </c>
      <c r="K311" s="75" cm="1">
        <f t="array" ref="K311">IF(Kredyt1[[#This Row],[Miesiąc kredytu]]="","",-PMT(Kredyt1[[#This Row],[Oprocentowanie]]/12,IlośćRat,KwotaKredytu))</f>
        <v>1556.0489869453118</v>
      </c>
      <c r="L311" s="75">
        <v>0</v>
      </c>
      <c r="M311" s="76">
        <f>IFERROR(M310-J311-Kredyt1[[#This Row],[Nadpłata]],"")</f>
        <v>78077.344271564012</v>
      </c>
    </row>
    <row r="312" spans="4:13">
      <c r="D312" s="70" cm="1">
        <f t="array" ref="D312">IF(ROW(307:307)&lt;=IlośćRat,ROW(307:307),"")</f>
        <v>307</v>
      </c>
      <c r="E312" s="70">
        <f>IFERROR(ROUNDUP(Kredyt1[[#This Row],[Miesiąc kredytu]]/12,0),"")</f>
        <v>26</v>
      </c>
      <c r="F312" s="71">
        <f t="shared" si="4"/>
        <v>53418</v>
      </c>
      <c r="G312" s="72" cm="1">
        <f t="array" ref="G312">IF(Kredyt1[[#This Row],[Data]]="","",WIBOR3M)</f>
        <v>0.02</v>
      </c>
      <c r="H312" s="72" cm="1">
        <f t="array" ref="H312">IF(Kredyt1[[#This Row],[Data]]="","",G312+MarżaBAnku)</f>
        <v>0.04</v>
      </c>
      <c r="I312" s="73">
        <f>IF(Kredyt1[[#This Row],[Data]]="","",Kredyt1[[#This Row],[Cała rata]]-Kredyt1[[#This Row],[Kapitał]])</f>
        <v>260.25781423854642</v>
      </c>
      <c r="J312" s="74" cm="1">
        <f t="array" ref="J312">IFERROR(-PPMT(Kredyt1[[#This Row],[Oprocentowanie]]/12,Kredyt1[[#This Row],[Miesiąc kredytu]],IlośćRat,KwotaKredytu),"")</f>
        <v>1295.7911727067653</v>
      </c>
      <c r="K312" s="75" cm="1">
        <f t="array" ref="K312">IF(Kredyt1[[#This Row],[Miesiąc kredytu]]="","",-PMT(Kredyt1[[#This Row],[Oprocentowanie]]/12,IlośćRat,KwotaKredytu))</f>
        <v>1556.0489869453118</v>
      </c>
      <c r="L312" s="75">
        <v>0</v>
      </c>
      <c r="M312" s="76">
        <f>IFERROR(M311-J312-Kredyt1[[#This Row],[Nadpłata]],"")</f>
        <v>76781.553098857243</v>
      </c>
    </row>
    <row r="313" spans="4:13">
      <c r="D313" s="70" cm="1">
        <f t="array" ref="D313">IF(ROW(308:308)&lt;=IlośćRat,ROW(308:308),"")</f>
        <v>308</v>
      </c>
      <c r="E313" s="70">
        <f>IFERROR(ROUNDUP(Kredyt1[[#This Row],[Miesiąc kredytu]]/12,0),"")</f>
        <v>26</v>
      </c>
      <c r="F313" s="71">
        <f t="shared" si="4"/>
        <v>53448</v>
      </c>
      <c r="G313" s="72" cm="1">
        <f t="array" ref="G313">IF(Kredyt1[[#This Row],[Data]]="","",WIBOR3M)</f>
        <v>0.02</v>
      </c>
      <c r="H313" s="72" cm="1">
        <f t="array" ref="H313">IF(Kredyt1[[#This Row],[Data]]="","",G313+MarżaBAnku)</f>
        <v>0.04</v>
      </c>
      <c r="I313" s="73">
        <f>IF(Kredyt1[[#This Row],[Data]]="","",Kredyt1[[#This Row],[Cała rata]]-Kredyt1[[#This Row],[Kapitał]])</f>
        <v>255.93851032952398</v>
      </c>
      <c r="J313" s="74" cm="1">
        <f t="array" ref="J313">IFERROR(-PPMT(Kredyt1[[#This Row],[Oprocentowanie]]/12,Kredyt1[[#This Row],[Miesiąc kredytu]],IlośćRat,KwotaKredytu),"")</f>
        <v>1300.1104766157878</v>
      </c>
      <c r="K313" s="75" cm="1">
        <f t="array" ref="K313">IF(Kredyt1[[#This Row],[Miesiąc kredytu]]="","",-PMT(Kredyt1[[#This Row],[Oprocentowanie]]/12,IlośćRat,KwotaKredytu))</f>
        <v>1556.0489869453118</v>
      </c>
      <c r="L313" s="75">
        <v>0</v>
      </c>
      <c r="M313" s="76">
        <f>IFERROR(M312-J313-Kredyt1[[#This Row],[Nadpłata]],"")</f>
        <v>75481.442622241448</v>
      </c>
    </row>
    <row r="314" spans="4:13">
      <c r="D314" s="70" cm="1">
        <f t="array" ref="D314">IF(ROW(309:309)&lt;=IlośćRat,ROW(309:309),"")</f>
        <v>309</v>
      </c>
      <c r="E314" s="70">
        <f>IFERROR(ROUNDUP(Kredyt1[[#This Row],[Miesiąc kredytu]]/12,0),"")</f>
        <v>26</v>
      </c>
      <c r="F314" s="71">
        <f t="shared" si="4"/>
        <v>53479</v>
      </c>
      <c r="G314" s="72" cm="1">
        <f t="array" ref="G314">IF(Kredyt1[[#This Row],[Data]]="","",WIBOR3M)</f>
        <v>0.02</v>
      </c>
      <c r="H314" s="72" cm="1">
        <f t="array" ref="H314">IF(Kredyt1[[#This Row],[Data]]="","",G314+MarżaBAnku)</f>
        <v>0.04</v>
      </c>
      <c r="I314" s="73">
        <f>IF(Kredyt1[[#This Row],[Data]]="","",Kredyt1[[#This Row],[Cała rata]]-Kredyt1[[#This Row],[Kapitał]])</f>
        <v>251.60480874080463</v>
      </c>
      <c r="J314" s="74" cm="1">
        <f t="array" ref="J314">IFERROR(-PPMT(Kredyt1[[#This Row],[Oprocentowanie]]/12,Kredyt1[[#This Row],[Miesiąc kredytu]],IlośćRat,KwotaKredytu),"")</f>
        <v>1304.4441782045071</v>
      </c>
      <c r="K314" s="75" cm="1">
        <f t="array" ref="K314">IF(Kredyt1[[#This Row],[Miesiąc kredytu]]="","",-PMT(Kredyt1[[#This Row],[Oprocentowanie]]/12,IlośćRat,KwotaKredytu))</f>
        <v>1556.0489869453118</v>
      </c>
      <c r="L314" s="75">
        <v>0</v>
      </c>
      <c r="M314" s="76">
        <f>IFERROR(M313-J314-Kredyt1[[#This Row],[Nadpłata]],"")</f>
        <v>74176.998444036944</v>
      </c>
    </row>
    <row r="315" spans="4:13">
      <c r="D315" s="70" cm="1">
        <f t="array" ref="D315">IF(ROW(310:310)&lt;=IlośćRat,ROW(310:310),"")</f>
        <v>310</v>
      </c>
      <c r="E315" s="70">
        <f>IFERROR(ROUNDUP(Kredyt1[[#This Row],[Miesiąc kredytu]]/12,0),"")</f>
        <v>26</v>
      </c>
      <c r="F315" s="71">
        <f t="shared" si="4"/>
        <v>53509</v>
      </c>
      <c r="G315" s="72" cm="1">
        <f t="array" ref="G315">IF(Kredyt1[[#This Row],[Data]]="","",WIBOR3M)</f>
        <v>0.02</v>
      </c>
      <c r="H315" s="72" cm="1">
        <f t="array" ref="H315">IF(Kredyt1[[#This Row],[Data]]="","",G315+MarżaBAnku)</f>
        <v>0.04</v>
      </c>
      <c r="I315" s="73">
        <f>IF(Kredyt1[[#This Row],[Data]]="","",Kredyt1[[#This Row],[Cała rata]]-Kredyt1[[#This Row],[Kapitał]])</f>
        <v>247.25666148012306</v>
      </c>
      <c r="J315" s="74" cm="1">
        <f t="array" ref="J315">IFERROR(-PPMT(Kredyt1[[#This Row],[Oprocentowanie]]/12,Kredyt1[[#This Row],[Miesiąc kredytu]],IlośćRat,KwotaKredytu),"")</f>
        <v>1308.7923254651887</v>
      </c>
      <c r="K315" s="75" cm="1">
        <f t="array" ref="K315">IF(Kredyt1[[#This Row],[Miesiąc kredytu]]="","",-PMT(Kredyt1[[#This Row],[Oprocentowanie]]/12,IlośćRat,KwotaKredytu))</f>
        <v>1556.0489869453118</v>
      </c>
      <c r="L315" s="75">
        <v>0</v>
      </c>
      <c r="M315" s="76">
        <f>IFERROR(M314-J315-Kredyt1[[#This Row],[Nadpłata]],"")</f>
        <v>72868.206118571761</v>
      </c>
    </row>
    <row r="316" spans="4:13">
      <c r="D316" s="70" cm="1">
        <f t="array" ref="D316">IF(ROW(311:311)&lt;=IlośćRat,ROW(311:311),"")</f>
        <v>311</v>
      </c>
      <c r="E316" s="70">
        <f>IFERROR(ROUNDUP(Kredyt1[[#This Row],[Miesiąc kredytu]]/12,0),"")</f>
        <v>26</v>
      </c>
      <c r="F316" s="71">
        <f t="shared" si="4"/>
        <v>53540</v>
      </c>
      <c r="G316" s="72" cm="1">
        <f t="array" ref="G316">IF(Kredyt1[[#This Row],[Data]]="","",WIBOR3M)</f>
        <v>0.02</v>
      </c>
      <c r="H316" s="72" cm="1">
        <f t="array" ref="H316">IF(Kredyt1[[#This Row],[Data]]="","",G316+MarżaBAnku)</f>
        <v>0.04</v>
      </c>
      <c r="I316" s="73">
        <f>IF(Kredyt1[[#This Row],[Data]]="","",Kredyt1[[#This Row],[Cała rata]]-Kredyt1[[#This Row],[Kapitał]])</f>
        <v>242.89402039523907</v>
      </c>
      <c r="J316" s="74" cm="1">
        <f t="array" ref="J316">IFERROR(-PPMT(Kredyt1[[#This Row],[Oprocentowanie]]/12,Kredyt1[[#This Row],[Miesiąc kredytu]],IlośćRat,KwotaKredytu),"")</f>
        <v>1313.1549665500727</v>
      </c>
      <c r="K316" s="75" cm="1">
        <f t="array" ref="K316">IF(Kredyt1[[#This Row],[Miesiąc kredytu]]="","",-PMT(Kredyt1[[#This Row],[Oprocentowanie]]/12,IlośćRat,KwotaKredytu))</f>
        <v>1556.0489869453118</v>
      </c>
      <c r="L316" s="75">
        <v>0</v>
      </c>
      <c r="M316" s="76">
        <f>IFERROR(M315-J316-Kredyt1[[#This Row],[Nadpłata]],"")</f>
        <v>71555.051152021682</v>
      </c>
    </row>
    <row r="317" spans="4:13">
      <c r="D317" s="70" cm="1">
        <f t="array" ref="D317">IF(ROW(312:312)&lt;=IlośćRat,ROW(312:312),"")</f>
        <v>312</v>
      </c>
      <c r="E317" s="70">
        <f>IFERROR(ROUNDUP(Kredyt1[[#This Row],[Miesiąc kredytu]]/12,0),"")</f>
        <v>26</v>
      </c>
      <c r="F317" s="71">
        <f t="shared" si="4"/>
        <v>53571</v>
      </c>
      <c r="G317" s="72" cm="1">
        <f t="array" ref="G317">IF(Kredyt1[[#This Row],[Data]]="","",WIBOR3M)</f>
        <v>0.02</v>
      </c>
      <c r="H317" s="72" cm="1">
        <f t="array" ref="H317">IF(Kredyt1[[#This Row],[Data]]="","",G317+MarżaBAnku)</f>
        <v>0.04</v>
      </c>
      <c r="I317" s="73">
        <f>IF(Kredyt1[[#This Row],[Data]]="","",Kredyt1[[#This Row],[Cała rata]]-Kredyt1[[#This Row],[Kapitał]])</f>
        <v>238.51683717340552</v>
      </c>
      <c r="J317" s="74" cm="1">
        <f t="array" ref="J317">IFERROR(-PPMT(Kredyt1[[#This Row],[Oprocentowanie]]/12,Kredyt1[[#This Row],[Miesiąc kredytu]],IlośćRat,KwotaKredytu),"")</f>
        <v>1317.5321497719062</v>
      </c>
      <c r="K317" s="75" cm="1">
        <f t="array" ref="K317">IF(Kredyt1[[#This Row],[Miesiąc kredytu]]="","",-PMT(Kredyt1[[#This Row],[Oprocentowanie]]/12,IlośćRat,KwotaKredytu))</f>
        <v>1556.0489869453118</v>
      </c>
      <c r="L317" s="75">
        <v>0</v>
      </c>
      <c r="M317" s="76">
        <f>IFERROR(M316-J317-Kredyt1[[#This Row],[Nadpłata]],"")</f>
        <v>70237.51900224977</v>
      </c>
    </row>
    <row r="318" spans="4:13">
      <c r="D318" s="70" cm="1">
        <f t="array" ref="D318">IF(ROW(313:313)&lt;=IlośćRat,ROW(313:313),"")</f>
        <v>313</v>
      </c>
      <c r="E318" s="70">
        <f>IFERROR(ROUNDUP(Kredyt1[[#This Row],[Miesiąc kredytu]]/12,0),"")</f>
        <v>27</v>
      </c>
      <c r="F318" s="71">
        <f t="shared" si="4"/>
        <v>53601</v>
      </c>
      <c r="G318" s="72" cm="1">
        <f t="array" ref="G318">IF(Kredyt1[[#This Row],[Data]]="","",WIBOR3M)</f>
        <v>0.02</v>
      </c>
      <c r="H318" s="72" cm="1">
        <f t="array" ref="H318">IF(Kredyt1[[#This Row],[Data]]="","",G318+MarżaBAnku)</f>
        <v>0.04</v>
      </c>
      <c r="I318" s="73">
        <f>IF(Kredyt1[[#This Row],[Data]]="","",Kredyt1[[#This Row],[Cała rata]]-Kredyt1[[#This Row],[Kapitał]])</f>
        <v>234.12506334083241</v>
      </c>
      <c r="J318" s="74" cm="1">
        <f t="array" ref="J318">IFERROR(-PPMT(Kredyt1[[#This Row],[Oprocentowanie]]/12,Kredyt1[[#This Row],[Miesiąc kredytu]],IlośćRat,KwotaKredytu),"")</f>
        <v>1321.9239236044793</v>
      </c>
      <c r="K318" s="75" cm="1">
        <f t="array" ref="K318">IF(Kredyt1[[#This Row],[Miesiąc kredytu]]="","",-PMT(Kredyt1[[#This Row],[Oprocentowanie]]/12,IlośćRat,KwotaKredytu))</f>
        <v>1556.0489869453118</v>
      </c>
      <c r="L318" s="75">
        <v>0</v>
      </c>
      <c r="M318" s="76">
        <f>IFERROR(M317-J318-Kredyt1[[#This Row],[Nadpłata]],"")</f>
        <v>68915.595078645289</v>
      </c>
    </row>
    <row r="319" spans="4:13">
      <c r="D319" s="70" cm="1">
        <f t="array" ref="D319">IF(ROW(314:314)&lt;=IlośćRat,ROW(314:314),"")</f>
        <v>314</v>
      </c>
      <c r="E319" s="70">
        <f>IFERROR(ROUNDUP(Kredyt1[[#This Row],[Miesiąc kredytu]]/12,0),"")</f>
        <v>27</v>
      </c>
      <c r="F319" s="71">
        <f t="shared" si="4"/>
        <v>53632</v>
      </c>
      <c r="G319" s="72" cm="1">
        <f t="array" ref="G319">IF(Kredyt1[[#This Row],[Data]]="","",WIBOR3M)</f>
        <v>0.02</v>
      </c>
      <c r="H319" s="72" cm="1">
        <f t="array" ref="H319">IF(Kredyt1[[#This Row],[Data]]="","",G319+MarżaBAnku)</f>
        <v>0.04</v>
      </c>
      <c r="I319" s="73">
        <f>IF(Kredyt1[[#This Row],[Data]]="","",Kredyt1[[#This Row],[Cała rata]]-Kredyt1[[#This Row],[Kapitał]])</f>
        <v>229.71865026215073</v>
      </c>
      <c r="J319" s="74" cm="1">
        <f t="array" ref="J319">IFERROR(-PPMT(Kredyt1[[#This Row],[Oprocentowanie]]/12,Kredyt1[[#This Row],[Miesiąc kredytu]],IlośćRat,KwotaKredytu),"")</f>
        <v>1326.330336683161</v>
      </c>
      <c r="K319" s="75" cm="1">
        <f t="array" ref="K319">IF(Kredyt1[[#This Row],[Miesiąc kredytu]]="","",-PMT(Kredyt1[[#This Row],[Oprocentowanie]]/12,IlośćRat,KwotaKredytu))</f>
        <v>1556.0489869453118</v>
      </c>
      <c r="L319" s="75">
        <v>0</v>
      </c>
      <c r="M319" s="76">
        <f>IFERROR(M318-J319-Kredyt1[[#This Row],[Nadpłata]],"")</f>
        <v>67589.264741962121</v>
      </c>
    </row>
    <row r="320" spans="4:13">
      <c r="D320" s="70" cm="1">
        <f t="array" ref="D320">IF(ROW(315:315)&lt;=IlośćRat,ROW(315:315),"")</f>
        <v>315</v>
      </c>
      <c r="E320" s="70">
        <f>IFERROR(ROUNDUP(Kredyt1[[#This Row],[Miesiąc kredytu]]/12,0),"")</f>
        <v>27</v>
      </c>
      <c r="F320" s="71">
        <f t="shared" si="4"/>
        <v>53662</v>
      </c>
      <c r="G320" s="72" cm="1">
        <f t="array" ref="G320">IF(Kredyt1[[#This Row],[Data]]="","",WIBOR3M)</f>
        <v>0.02</v>
      </c>
      <c r="H320" s="72" cm="1">
        <f t="array" ref="H320">IF(Kredyt1[[#This Row],[Data]]="","",G320+MarżaBAnku)</f>
        <v>0.04</v>
      </c>
      <c r="I320" s="73">
        <f>IF(Kredyt1[[#This Row],[Data]]="","",Kredyt1[[#This Row],[Cała rata]]-Kredyt1[[#This Row],[Kapitał]])</f>
        <v>225.29754913987358</v>
      </c>
      <c r="J320" s="74" cm="1">
        <f t="array" ref="J320">IFERROR(-PPMT(Kredyt1[[#This Row],[Oprocentowanie]]/12,Kredyt1[[#This Row],[Miesiąc kredytu]],IlośćRat,KwotaKredytu),"")</f>
        <v>1330.7514378054382</v>
      </c>
      <c r="K320" s="75" cm="1">
        <f t="array" ref="K320">IF(Kredyt1[[#This Row],[Miesiąc kredytu]]="","",-PMT(Kredyt1[[#This Row],[Oprocentowanie]]/12,IlośćRat,KwotaKredytu))</f>
        <v>1556.0489869453118</v>
      </c>
      <c r="L320" s="75">
        <v>0</v>
      </c>
      <c r="M320" s="76">
        <f>IFERROR(M319-J320-Kredyt1[[#This Row],[Nadpłata]],"")</f>
        <v>66258.513304156688</v>
      </c>
    </row>
    <row r="321" spans="4:13">
      <c r="D321" s="70" cm="1">
        <f t="array" ref="D321">IF(ROW(316:316)&lt;=IlośćRat,ROW(316:316),"")</f>
        <v>316</v>
      </c>
      <c r="E321" s="70">
        <f>IFERROR(ROUNDUP(Kredyt1[[#This Row],[Miesiąc kredytu]]/12,0),"")</f>
        <v>27</v>
      </c>
      <c r="F321" s="71">
        <f t="shared" si="4"/>
        <v>53693</v>
      </c>
      <c r="G321" s="72" cm="1">
        <f t="array" ref="G321">IF(Kredyt1[[#This Row],[Data]]="","",WIBOR3M)</f>
        <v>0.02</v>
      </c>
      <c r="H321" s="72" cm="1">
        <f t="array" ref="H321">IF(Kredyt1[[#This Row],[Data]]="","",G321+MarżaBAnku)</f>
        <v>0.04</v>
      </c>
      <c r="I321" s="73">
        <f>IF(Kredyt1[[#This Row],[Data]]="","",Kredyt1[[#This Row],[Cała rata]]-Kredyt1[[#This Row],[Kapitał]])</f>
        <v>220.86171101385571</v>
      </c>
      <c r="J321" s="74" cm="1">
        <f t="array" ref="J321">IFERROR(-PPMT(Kredyt1[[#This Row],[Oprocentowanie]]/12,Kredyt1[[#This Row],[Miesiąc kredytu]],IlośćRat,KwotaKredytu),"")</f>
        <v>1335.187275931456</v>
      </c>
      <c r="K321" s="75" cm="1">
        <f t="array" ref="K321">IF(Kredyt1[[#This Row],[Miesiąc kredytu]]="","",-PMT(Kredyt1[[#This Row],[Oprocentowanie]]/12,IlośćRat,KwotaKredytu))</f>
        <v>1556.0489869453118</v>
      </c>
      <c r="L321" s="75">
        <v>0</v>
      </c>
      <c r="M321" s="76">
        <f>IFERROR(M320-J321-Kredyt1[[#This Row],[Nadpłata]],"")</f>
        <v>64923.32602822523</v>
      </c>
    </row>
    <row r="322" spans="4:13">
      <c r="D322" s="70" cm="1">
        <f t="array" ref="D322">IF(ROW(317:317)&lt;=IlośćRat,ROW(317:317),"")</f>
        <v>317</v>
      </c>
      <c r="E322" s="70">
        <f>IFERROR(ROUNDUP(Kredyt1[[#This Row],[Miesiąc kredytu]]/12,0),"")</f>
        <v>27</v>
      </c>
      <c r="F322" s="71">
        <f t="shared" si="4"/>
        <v>53724</v>
      </c>
      <c r="G322" s="72" cm="1">
        <f t="array" ref="G322">IF(Kredyt1[[#This Row],[Data]]="","",WIBOR3M)</f>
        <v>0.02</v>
      </c>
      <c r="H322" s="72" cm="1">
        <f t="array" ref="H322">IF(Kredyt1[[#This Row],[Data]]="","",G322+MarżaBAnku)</f>
        <v>0.04</v>
      </c>
      <c r="I322" s="73">
        <f>IF(Kredyt1[[#This Row],[Data]]="","",Kredyt1[[#This Row],[Cała rata]]-Kredyt1[[#This Row],[Kapitał]])</f>
        <v>216.41108676075078</v>
      </c>
      <c r="J322" s="74" cm="1">
        <f t="array" ref="J322">IFERROR(-PPMT(Kredyt1[[#This Row],[Oprocentowanie]]/12,Kredyt1[[#This Row],[Miesiąc kredytu]],IlośćRat,KwotaKredytu),"")</f>
        <v>1339.637900184561</v>
      </c>
      <c r="K322" s="75" cm="1">
        <f t="array" ref="K322">IF(Kredyt1[[#This Row],[Miesiąc kredytu]]="","",-PMT(Kredyt1[[#This Row],[Oprocentowanie]]/12,IlośćRat,KwotaKredytu))</f>
        <v>1556.0489869453118</v>
      </c>
      <c r="L322" s="75">
        <v>0</v>
      </c>
      <c r="M322" s="76">
        <f>IFERROR(M321-J322-Kredyt1[[#This Row],[Nadpłata]],"")</f>
        <v>63583.688128040667</v>
      </c>
    </row>
    <row r="323" spans="4:13">
      <c r="D323" s="70" cm="1">
        <f t="array" ref="D323">IF(ROW(318:318)&lt;=IlośćRat,ROW(318:318),"")</f>
        <v>318</v>
      </c>
      <c r="E323" s="70">
        <f>IFERROR(ROUNDUP(Kredyt1[[#This Row],[Miesiąc kredytu]]/12,0),"")</f>
        <v>27</v>
      </c>
      <c r="F323" s="71">
        <f t="shared" si="4"/>
        <v>53752</v>
      </c>
      <c r="G323" s="72" cm="1">
        <f t="array" ref="G323">IF(Kredyt1[[#This Row],[Data]]="","",WIBOR3M)</f>
        <v>0.02</v>
      </c>
      <c r="H323" s="72" cm="1">
        <f t="array" ref="H323">IF(Kredyt1[[#This Row],[Data]]="","",G323+MarżaBAnku)</f>
        <v>0.04</v>
      </c>
      <c r="I323" s="73">
        <f>IF(Kredyt1[[#This Row],[Data]]="","",Kredyt1[[#This Row],[Cała rata]]-Kredyt1[[#This Row],[Kapitał]])</f>
        <v>211.9456270934686</v>
      </c>
      <c r="J323" s="74" cm="1">
        <f t="array" ref="J323">IFERROR(-PPMT(Kredyt1[[#This Row],[Oprocentowanie]]/12,Kredyt1[[#This Row],[Miesiąc kredytu]],IlośćRat,KwotaKredytu),"")</f>
        <v>1344.1033598518432</v>
      </c>
      <c r="K323" s="75" cm="1">
        <f t="array" ref="K323">IF(Kredyt1[[#This Row],[Miesiąc kredytu]]="","",-PMT(Kredyt1[[#This Row],[Oprocentowanie]]/12,IlośćRat,KwotaKredytu))</f>
        <v>1556.0489869453118</v>
      </c>
      <c r="L323" s="75">
        <v>0</v>
      </c>
      <c r="M323" s="76">
        <f>IFERROR(M322-J323-Kredyt1[[#This Row],[Nadpłata]],"")</f>
        <v>62239.584768188826</v>
      </c>
    </row>
    <row r="324" spans="4:13">
      <c r="D324" s="70" cm="1">
        <f t="array" ref="D324">IF(ROW(319:319)&lt;=IlośćRat,ROW(319:319),"")</f>
        <v>319</v>
      </c>
      <c r="E324" s="70">
        <f>IFERROR(ROUNDUP(Kredyt1[[#This Row],[Miesiąc kredytu]]/12,0),"")</f>
        <v>27</v>
      </c>
      <c r="F324" s="71">
        <f t="shared" si="4"/>
        <v>53783</v>
      </c>
      <c r="G324" s="72" cm="1">
        <f t="array" ref="G324">IF(Kredyt1[[#This Row],[Data]]="","",WIBOR3M)</f>
        <v>0.02</v>
      </c>
      <c r="H324" s="72" cm="1">
        <f t="array" ref="H324">IF(Kredyt1[[#This Row],[Data]]="","",G324+MarżaBAnku)</f>
        <v>0.04</v>
      </c>
      <c r="I324" s="73">
        <f>IF(Kredyt1[[#This Row],[Data]]="","",Kredyt1[[#This Row],[Cała rata]]-Kredyt1[[#This Row],[Kapitał]])</f>
        <v>207.46528256062925</v>
      </c>
      <c r="J324" s="74" cm="1">
        <f t="array" ref="J324">IFERROR(-PPMT(Kredyt1[[#This Row],[Oprocentowanie]]/12,Kredyt1[[#This Row],[Miesiąc kredytu]],IlośćRat,KwotaKredytu),"")</f>
        <v>1348.5837043846825</v>
      </c>
      <c r="K324" s="75" cm="1">
        <f t="array" ref="K324">IF(Kredyt1[[#This Row],[Miesiąc kredytu]]="","",-PMT(Kredyt1[[#This Row],[Oprocentowanie]]/12,IlośćRat,KwotaKredytu))</f>
        <v>1556.0489869453118</v>
      </c>
      <c r="L324" s="75">
        <v>0</v>
      </c>
      <c r="M324" s="76">
        <f>IFERROR(M323-J324-Kredyt1[[#This Row],[Nadpłata]],"")</f>
        <v>60891.001063804142</v>
      </c>
    </row>
    <row r="325" spans="4:13">
      <c r="D325" s="70" cm="1">
        <f t="array" ref="D325">IF(ROW(320:320)&lt;=IlośćRat,ROW(320:320),"")</f>
        <v>320</v>
      </c>
      <c r="E325" s="70">
        <f>IFERROR(ROUNDUP(Kredyt1[[#This Row],[Miesiąc kredytu]]/12,0),"")</f>
        <v>27</v>
      </c>
      <c r="F325" s="71">
        <f t="shared" si="4"/>
        <v>53813</v>
      </c>
      <c r="G325" s="72" cm="1">
        <f t="array" ref="G325">IF(Kredyt1[[#This Row],[Data]]="","",WIBOR3M)</f>
        <v>0.02</v>
      </c>
      <c r="H325" s="72" cm="1">
        <f t="array" ref="H325">IF(Kredyt1[[#This Row],[Data]]="","",G325+MarżaBAnku)</f>
        <v>0.04</v>
      </c>
      <c r="I325" s="73">
        <f>IF(Kredyt1[[#This Row],[Data]]="","",Kredyt1[[#This Row],[Cała rata]]-Kredyt1[[#This Row],[Kapitał]])</f>
        <v>202.97000354601369</v>
      </c>
      <c r="J325" s="74" cm="1">
        <f t="array" ref="J325">IFERROR(-PPMT(Kredyt1[[#This Row],[Oprocentowanie]]/12,Kredyt1[[#This Row],[Miesiąc kredytu]],IlośćRat,KwotaKredytu),"")</f>
        <v>1353.0789833992981</v>
      </c>
      <c r="K325" s="75" cm="1">
        <f t="array" ref="K325">IF(Kredyt1[[#This Row],[Miesiąc kredytu]]="","",-PMT(Kredyt1[[#This Row],[Oprocentowanie]]/12,IlośćRat,KwotaKredytu))</f>
        <v>1556.0489869453118</v>
      </c>
      <c r="L325" s="75">
        <v>0</v>
      </c>
      <c r="M325" s="76">
        <f>IFERROR(M324-J325-Kredyt1[[#This Row],[Nadpłata]],"")</f>
        <v>59537.922080404845</v>
      </c>
    </row>
    <row r="326" spans="4:13">
      <c r="D326" s="70" cm="1">
        <f t="array" ref="D326">IF(ROW(321:321)&lt;=IlośćRat,ROW(321:321),"")</f>
        <v>321</v>
      </c>
      <c r="E326" s="70">
        <f>IFERROR(ROUNDUP(Kredyt1[[#This Row],[Miesiąc kredytu]]/12,0),"")</f>
        <v>27</v>
      </c>
      <c r="F326" s="71">
        <f t="shared" ref="F326:F389" si="5">IFERROR(EDATE($B$6,D326-1),"")</f>
        <v>53844</v>
      </c>
      <c r="G326" s="72" cm="1">
        <f t="array" ref="G326">IF(Kredyt1[[#This Row],[Data]]="","",WIBOR3M)</f>
        <v>0.02</v>
      </c>
      <c r="H326" s="72" cm="1">
        <f t="array" ref="H326">IF(Kredyt1[[#This Row],[Data]]="","",G326+MarżaBAnku)</f>
        <v>0.04</v>
      </c>
      <c r="I326" s="73">
        <f>IF(Kredyt1[[#This Row],[Data]]="","",Kredyt1[[#This Row],[Cała rata]]-Kredyt1[[#This Row],[Kapitał]])</f>
        <v>198.45974026801628</v>
      </c>
      <c r="J326" s="74" cm="1">
        <f t="array" ref="J326">IFERROR(-PPMT(Kredyt1[[#This Row],[Oprocentowanie]]/12,Kredyt1[[#This Row],[Miesiąc kredytu]],IlośćRat,KwotaKredytu),"")</f>
        <v>1357.5892466772955</v>
      </c>
      <c r="K326" s="75" cm="1">
        <f t="array" ref="K326">IF(Kredyt1[[#This Row],[Miesiąc kredytu]]="","",-PMT(Kredyt1[[#This Row],[Oprocentowanie]]/12,IlośćRat,KwotaKredytu))</f>
        <v>1556.0489869453118</v>
      </c>
      <c r="L326" s="75">
        <v>0</v>
      </c>
      <c r="M326" s="76">
        <f>IFERROR(M325-J326-Kredyt1[[#This Row],[Nadpłata]],"")</f>
        <v>58180.332833727552</v>
      </c>
    </row>
    <row r="327" spans="4:13">
      <c r="D327" s="70" cm="1">
        <f t="array" ref="D327">IF(ROW(322:322)&lt;=IlośćRat,ROW(322:322),"")</f>
        <v>322</v>
      </c>
      <c r="E327" s="70">
        <f>IFERROR(ROUNDUP(Kredyt1[[#This Row],[Miesiąc kredytu]]/12,0),"")</f>
        <v>27</v>
      </c>
      <c r="F327" s="71">
        <f t="shared" si="5"/>
        <v>53874</v>
      </c>
      <c r="G327" s="72" cm="1">
        <f t="array" ref="G327">IF(Kredyt1[[#This Row],[Data]]="","",WIBOR3M)</f>
        <v>0.02</v>
      </c>
      <c r="H327" s="72" cm="1">
        <f t="array" ref="H327">IF(Kredyt1[[#This Row],[Data]]="","",G327+MarżaBAnku)</f>
        <v>0.04</v>
      </c>
      <c r="I327" s="73">
        <f>IF(Kredyt1[[#This Row],[Data]]="","",Kredyt1[[#This Row],[Cała rata]]-Kredyt1[[#This Row],[Kapitał]])</f>
        <v>193.9344427790918</v>
      </c>
      <c r="J327" s="74" cm="1">
        <f t="array" ref="J327">IFERROR(-PPMT(Kredyt1[[#This Row],[Oprocentowanie]]/12,Kredyt1[[#This Row],[Miesiąc kredytu]],IlośćRat,KwotaKredytu),"")</f>
        <v>1362.11454416622</v>
      </c>
      <c r="K327" s="75" cm="1">
        <f t="array" ref="K327">IF(Kredyt1[[#This Row],[Miesiąc kredytu]]="","",-PMT(Kredyt1[[#This Row],[Oprocentowanie]]/12,IlośćRat,KwotaKredytu))</f>
        <v>1556.0489869453118</v>
      </c>
      <c r="L327" s="75">
        <v>0</v>
      </c>
      <c r="M327" s="76">
        <f>IFERROR(M326-J327-Kredyt1[[#This Row],[Nadpłata]],"")</f>
        <v>56818.21828956133</v>
      </c>
    </row>
    <row r="328" spans="4:13">
      <c r="D328" s="70" cm="1">
        <f t="array" ref="D328">IF(ROW(323:323)&lt;=IlośćRat,ROW(323:323),"")</f>
        <v>323</v>
      </c>
      <c r="E328" s="70">
        <f>IFERROR(ROUNDUP(Kredyt1[[#This Row],[Miesiąc kredytu]]/12,0),"")</f>
        <v>27</v>
      </c>
      <c r="F328" s="71">
        <f t="shared" si="5"/>
        <v>53905</v>
      </c>
      <c r="G328" s="72" cm="1">
        <f t="array" ref="G328">IF(Kredyt1[[#This Row],[Data]]="","",WIBOR3M)</f>
        <v>0.02</v>
      </c>
      <c r="H328" s="72" cm="1">
        <f t="array" ref="H328">IF(Kredyt1[[#This Row],[Data]]="","",G328+MarżaBAnku)</f>
        <v>0.04</v>
      </c>
      <c r="I328" s="73">
        <f>IF(Kredyt1[[#This Row],[Data]]="","",Kredyt1[[#This Row],[Cała rata]]-Kredyt1[[#This Row],[Kapitał]])</f>
        <v>189.39406096520429</v>
      </c>
      <c r="J328" s="74" cm="1">
        <f t="array" ref="J328">IFERROR(-PPMT(Kredyt1[[#This Row],[Oprocentowanie]]/12,Kredyt1[[#This Row],[Miesiąc kredytu]],IlośćRat,KwotaKredytu),"")</f>
        <v>1366.6549259801075</v>
      </c>
      <c r="K328" s="75" cm="1">
        <f t="array" ref="K328">IF(Kredyt1[[#This Row],[Miesiąc kredytu]]="","",-PMT(Kredyt1[[#This Row],[Oprocentowanie]]/12,IlośćRat,KwotaKredytu))</f>
        <v>1556.0489869453118</v>
      </c>
      <c r="L328" s="75">
        <v>0</v>
      </c>
      <c r="M328" s="76">
        <f>IFERROR(M327-J328-Kredyt1[[#This Row],[Nadpłata]],"")</f>
        <v>55451.563363581219</v>
      </c>
    </row>
    <row r="329" spans="4:13">
      <c r="D329" s="70" cm="1">
        <f t="array" ref="D329">IF(ROW(324:324)&lt;=IlośćRat,ROW(324:324),"")</f>
        <v>324</v>
      </c>
      <c r="E329" s="70">
        <f>IFERROR(ROUNDUP(Kredyt1[[#This Row],[Miesiąc kredytu]]/12,0),"")</f>
        <v>27</v>
      </c>
      <c r="F329" s="71">
        <f t="shared" si="5"/>
        <v>53936</v>
      </c>
      <c r="G329" s="72" cm="1">
        <f t="array" ref="G329">IF(Kredyt1[[#This Row],[Data]]="","",WIBOR3M)</f>
        <v>0.02</v>
      </c>
      <c r="H329" s="72" cm="1">
        <f t="array" ref="H329">IF(Kredyt1[[#This Row],[Data]]="","",G329+MarżaBAnku)</f>
        <v>0.04</v>
      </c>
      <c r="I329" s="73">
        <f>IF(Kredyt1[[#This Row],[Data]]="","",Kredyt1[[#This Row],[Cała rata]]-Kredyt1[[#This Row],[Kapitał]])</f>
        <v>184.83854454527068</v>
      </c>
      <c r="J329" s="74" cm="1">
        <f t="array" ref="J329">IFERROR(-PPMT(Kredyt1[[#This Row],[Oprocentowanie]]/12,Kredyt1[[#This Row],[Miesiąc kredytu]],IlośćRat,KwotaKredytu),"")</f>
        <v>1371.2104424000411</v>
      </c>
      <c r="K329" s="75" cm="1">
        <f t="array" ref="K329">IF(Kredyt1[[#This Row],[Miesiąc kredytu]]="","",-PMT(Kredyt1[[#This Row],[Oprocentowanie]]/12,IlośćRat,KwotaKredytu))</f>
        <v>1556.0489869453118</v>
      </c>
      <c r="L329" s="75">
        <v>0</v>
      </c>
      <c r="M329" s="76">
        <f>IFERROR(M328-J329-Kredyt1[[#This Row],[Nadpłata]],"")</f>
        <v>54080.352921181176</v>
      </c>
    </row>
    <row r="330" spans="4:13">
      <c r="D330" s="70" cm="1">
        <f t="array" ref="D330">IF(ROW(325:325)&lt;=IlośćRat,ROW(325:325),"")</f>
        <v>325</v>
      </c>
      <c r="E330" s="70">
        <f>IFERROR(ROUNDUP(Kredyt1[[#This Row],[Miesiąc kredytu]]/12,0),"")</f>
        <v>28</v>
      </c>
      <c r="F330" s="71">
        <f t="shared" si="5"/>
        <v>53966</v>
      </c>
      <c r="G330" s="72" cm="1">
        <f t="array" ref="G330">IF(Kredyt1[[#This Row],[Data]]="","",WIBOR3M)</f>
        <v>0.02</v>
      </c>
      <c r="H330" s="72" cm="1">
        <f t="array" ref="H330">IF(Kredyt1[[#This Row],[Data]]="","",G330+MarżaBAnku)</f>
        <v>0.04</v>
      </c>
      <c r="I330" s="73">
        <f>IF(Kredyt1[[#This Row],[Data]]="","",Kredyt1[[#This Row],[Cała rata]]-Kredyt1[[#This Row],[Kapitał]])</f>
        <v>180.26784307060393</v>
      </c>
      <c r="J330" s="74" cm="1">
        <f t="array" ref="J330">IFERROR(-PPMT(Kredyt1[[#This Row],[Oprocentowanie]]/12,Kredyt1[[#This Row],[Miesiąc kredytu]],IlośćRat,KwotaKredytu),"")</f>
        <v>1375.7811438747078</v>
      </c>
      <c r="K330" s="75" cm="1">
        <f t="array" ref="K330">IF(Kredyt1[[#This Row],[Miesiąc kredytu]]="","",-PMT(Kredyt1[[#This Row],[Oprocentowanie]]/12,IlośćRat,KwotaKredytu))</f>
        <v>1556.0489869453118</v>
      </c>
      <c r="L330" s="75">
        <v>0</v>
      </c>
      <c r="M330" s="76">
        <f>IFERROR(M329-J330-Kredyt1[[#This Row],[Nadpłata]],"")</f>
        <v>52704.571777306468</v>
      </c>
    </row>
    <row r="331" spans="4:13">
      <c r="D331" s="70" cm="1">
        <f t="array" ref="D331">IF(ROW(326:326)&lt;=IlośćRat,ROW(326:326),"")</f>
        <v>326</v>
      </c>
      <c r="E331" s="70">
        <f>IFERROR(ROUNDUP(Kredyt1[[#This Row],[Miesiąc kredytu]]/12,0),"")</f>
        <v>28</v>
      </c>
      <c r="F331" s="71">
        <f t="shared" si="5"/>
        <v>53997</v>
      </c>
      <c r="G331" s="72" cm="1">
        <f t="array" ref="G331">IF(Kredyt1[[#This Row],[Data]]="","",WIBOR3M)</f>
        <v>0.02</v>
      </c>
      <c r="H331" s="72" cm="1">
        <f t="array" ref="H331">IF(Kredyt1[[#This Row],[Data]]="","",G331+MarżaBAnku)</f>
        <v>0.04</v>
      </c>
      <c r="I331" s="73">
        <f>IF(Kredyt1[[#This Row],[Data]]="","",Kredyt1[[#This Row],[Cała rata]]-Kredyt1[[#This Row],[Kapitał]])</f>
        <v>175.68190592435485</v>
      </c>
      <c r="J331" s="74" cm="1">
        <f t="array" ref="J331">IFERROR(-PPMT(Kredyt1[[#This Row],[Oprocentowanie]]/12,Kredyt1[[#This Row],[Miesiąc kredytu]],IlośćRat,KwotaKredytu),"")</f>
        <v>1380.3670810209569</v>
      </c>
      <c r="K331" s="75" cm="1">
        <f t="array" ref="K331">IF(Kredyt1[[#This Row],[Miesiąc kredytu]]="","",-PMT(Kredyt1[[#This Row],[Oprocentowanie]]/12,IlośćRat,KwotaKredytu))</f>
        <v>1556.0489869453118</v>
      </c>
      <c r="L331" s="75">
        <v>0</v>
      </c>
      <c r="M331" s="76">
        <f>IFERROR(M330-J331-Kredyt1[[#This Row],[Nadpłata]],"")</f>
        <v>51324.204696285509</v>
      </c>
    </row>
    <row r="332" spans="4:13">
      <c r="D332" s="70" cm="1">
        <f t="array" ref="D332">IF(ROW(327:327)&lt;=IlośćRat,ROW(327:327),"")</f>
        <v>327</v>
      </c>
      <c r="E332" s="70">
        <f>IFERROR(ROUNDUP(Kredyt1[[#This Row],[Miesiąc kredytu]]/12,0),"")</f>
        <v>28</v>
      </c>
      <c r="F332" s="71">
        <f t="shared" si="5"/>
        <v>54027</v>
      </c>
      <c r="G332" s="72" cm="1">
        <f t="array" ref="G332">IF(Kredyt1[[#This Row],[Data]]="","",WIBOR3M)</f>
        <v>0.02</v>
      </c>
      <c r="H332" s="72" cm="1">
        <f t="array" ref="H332">IF(Kredyt1[[#This Row],[Data]]="","",G332+MarżaBAnku)</f>
        <v>0.04</v>
      </c>
      <c r="I332" s="73">
        <f>IF(Kredyt1[[#This Row],[Data]]="","",Kredyt1[[#This Row],[Cała rata]]-Kredyt1[[#This Row],[Kapitał]])</f>
        <v>171.08068232095161</v>
      </c>
      <c r="J332" s="74" cm="1">
        <f t="array" ref="J332">IFERROR(-PPMT(Kredyt1[[#This Row],[Oprocentowanie]]/12,Kredyt1[[#This Row],[Miesiąc kredytu]],IlośćRat,KwotaKredytu),"")</f>
        <v>1384.9683046243601</v>
      </c>
      <c r="K332" s="75" cm="1">
        <f t="array" ref="K332">IF(Kredyt1[[#This Row],[Miesiąc kredytu]]="","",-PMT(Kredyt1[[#This Row],[Oprocentowanie]]/12,IlośćRat,KwotaKredytu))</f>
        <v>1556.0489869453118</v>
      </c>
      <c r="L332" s="75">
        <v>0</v>
      </c>
      <c r="M332" s="76">
        <f>IFERROR(M331-J332-Kredyt1[[#This Row],[Nadpłata]],"")</f>
        <v>49939.23639166115</v>
      </c>
    </row>
    <row r="333" spans="4:13">
      <c r="D333" s="70" cm="1">
        <f t="array" ref="D333">IF(ROW(328:328)&lt;=IlośćRat,ROW(328:328),"")</f>
        <v>328</v>
      </c>
      <c r="E333" s="70">
        <f>IFERROR(ROUNDUP(Kredyt1[[#This Row],[Miesiąc kredytu]]/12,0),"")</f>
        <v>28</v>
      </c>
      <c r="F333" s="71">
        <f t="shared" si="5"/>
        <v>54058</v>
      </c>
      <c r="G333" s="72" cm="1">
        <f t="array" ref="G333">IF(Kredyt1[[#This Row],[Data]]="","",WIBOR3M)</f>
        <v>0.02</v>
      </c>
      <c r="H333" s="72" cm="1">
        <f t="array" ref="H333">IF(Kredyt1[[#This Row],[Data]]="","",G333+MarżaBAnku)</f>
        <v>0.04</v>
      </c>
      <c r="I333" s="73">
        <f>IF(Kredyt1[[#This Row],[Data]]="","",Kredyt1[[#This Row],[Cała rata]]-Kredyt1[[#This Row],[Kapitał]])</f>
        <v>166.46412130553722</v>
      </c>
      <c r="J333" s="74" cm="1">
        <f t="array" ref="J333">IFERROR(-PPMT(Kredyt1[[#This Row],[Oprocentowanie]]/12,Kredyt1[[#This Row],[Miesiąc kredytu]],IlośćRat,KwotaKredytu),"")</f>
        <v>1389.5848656397745</v>
      </c>
      <c r="K333" s="75" cm="1">
        <f t="array" ref="K333">IF(Kredyt1[[#This Row],[Miesiąc kredytu]]="","",-PMT(Kredyt1[[#This Row],[Oprocentowanie]]/12,IlośćRat,KwotaKredytu))</f>
        <v>1556.0489869453118</v>
      </c>
      <c r="L333" s="75">
        <v>0</v>
      </c>
      <c r="M333" s="76">
        <f>IFERROR(M332-J333-Kredyt1[[#This Row],[Nadpłata]],"")</f>
        <v>48549.651526021378</v>
      </c>
    </row>
    <row r="334" spans="4:13">
      <c r="D334" s="70" cm="1">
        <f t="array" ref="D334">IF(ROW(329:329)&lt;=IlośćRat,ROW(329:329),"")</f>
        <v>329</v>
      </c>
      <c r="E334" s="70">
        <f>IFERROR(ROUNDUP(Kredyt1[[#This Row],[Miesiąc kredytu]]/12,0),"")</f>
        <v>28</v>
      </c>
      <c r="F334" s="71">
        <f t="shared" si="5"/>
        <v>54089</v>
      </c>
      <c r="G334" s="72" cm="1">
        <f t="array" ref="G334">IF(Kredyt1[[#This Row],[Data]]="","",WIBOR3M)</f>
        <v>0.02</v>
      </c>
      <c r="H334" s="72" cm="1">
        <f t="array" ref="H334">IF(Kredyt1[[#This Row],[Data]]="","",G334+MarżaBAnku)</f>
        <v>0.04</v>
      </c>
      <c r="I334" s="73">
        <f>IF(Kredyt1[[#This Row],[Data]]="","",Kredyt1[[#This Row],[Cała rata]]-Kredyt1[[#This Row],[Kapitał]])</f>
        <v>161.83217175340451</v>
      </c>
      <c r="J334" s="74" cm="1">
        <f t="array" ref="J334">IFERROR(-PPMT(Kredyt1[[#This Row],[Oprocentowanie]]/12,Kredyt1[[#This Row],[Miesiąc kredytu]],IlośćRat,KwotaKredytu),"")</f>
        <v>1394.2168151919072</v>
      </c>
      <c r="K334" s="75" cm="1">
        <f t="array" ref="K334">IF(Kredyt1[[#This Row],[Miesiąc kredytu]]="","",-PMT(Kredyt1[[#This Row],[Oprocentowanie]]/12,IlośćRat,KwotaKredytu))</f>
        <v>1556.0489869453118</v>
      </c>
      <c r="L334" s="75">
        <v>0</v>
      </c>
      <c r="M334" s="76">
        <f>IFERROR(M333-J334-Kredyt1[[#This Row],[Nadpłata]],"")</f>
        <v>47155.434710829468</v>
      </c>
    </row>
    <row r="335" spans="4:13">
      <c r="D335" s="70" cm="1">
        <f t="array" ref="D335">IF(ROW(330:330)&lt;=IlośćRat,ROW(330:330),"")</f>
        <v>330</v>
      </c>
      <c r="E335" s="70">
        <f>IFERROR(ROUNDUP(Kredyt1[[#This Row],[Miesiąc kredytu]]/12,0),"")</f>
        <v>28</v>
      </c>
      <c r="F335" s="71">
        <f t="shared" si="5"/>
        <v>54118</v>
      </c>
      <c r="G335" s="72" cm="1">
        <f t="array" ref="G335">IF(Kredyt1[[#This Row],[Data]]="","",WIBOR3M)</f>
        <v>0.02</v>
      </c>
      <c r="H335" s="72" cm="1">
        <f t="array" ref="H335">IF(Kredyt1[[#This Row],[Data]]="","",G335+MarżaBAnku)</f>
        <v>0.04</v>
      </c>
      <c r="I335" s="73">
        <f>IF(Kredyt1[[#This Row],[Data]]="","",Kredyt1[[#This Row],[Cała rata]]-Kredyt1[[#This Row],[Kapitał]])</f>
        <v>157.18478236943156</v>
      </c>
      <c r="J335" s="74" cm="1">
        <f t="array" ref="J335">IFERROR(-PPMT(Kredyt1[[#This Row],[Oprocentowanie]]/12,Kredyt1[[#This Row],[Miesiąc kredytu]],IlośćRat,KwotaKredytu),"")</f>
        <v>1398.8642045758802</v>
      </c>
      <c r="K335" s="75" cm="1">
        <f t="array" ref="K335">IF(Kredyt1[[#This Row],[Miesiąc kredytu]]="","",-PMT(Kredyt1[[#This Row],[Oprocentowanie]]/12,IlośćRat,KwotaKredytu))</f>
        <v>1556.0489869453118</v>
      </c>
      <c r="L335" s="75">
        <v>0</v>
      </c>
      <c r="M335" s="76">
        <f>IFERROR(M334-J335-Kredyt1[[#This Row],[Nadpłata]],"")</f>
        <v>45756.570506253585</v>
      </c>
    </row>
    <row r="336" spans="4:13">
      <c r="D336" s="70" cm="1">
        <f t="array" ref="D336">IF(ROW(331:331)&lt;=IlośćRat,ROW(331:331),"")</f>
        <v>331</v>
      </c>
      <c r="E336" s="70">
        <f>IFERROR(ROUNDUP(Kredyt1[[#This Row],[Miesiąc kredytu]]/12,0),"")</f>
        <v>28</v>
      </c>
      <c r="F336" s="71">
        <f t="shared" si="5"/>
        <v>54149</v>
      </c>
      <c r="G336" s="72" cm="1">
        <f t="array" ref="G336">IF(Kredyt1[[#This Row],[Data]]="","",WIBOR3M)</f>
        <v>0.02</v>
      </c>
      <c r="H336" s="72" cm="1">
        <f t="array" ref="H336">IF(Kredyt1[[#This Row],[Data]]="","",G336+MarżaBAnku)</f>
        <v>0.04</v>
      </c>
      <c r="I336" s="73">
        <f>IF(Kredyt1[[#This Row],[Data]]="","",Kredyt1[[#This Row],[Cała rata]]-Kredyt1[[#This Row],[Kapitał]])</f>
        <v>152.5219016875119</v>
      </c>
      <c r="J336" s="74" cm="1">
        <f t="array" ref="J336">IFERROR(-PPMT(Kredyt1[[#This Row],[Oprocentowanie]]/12,Kredyt1[[#This Row],[Miesiąc kredytu]],IlośćRat,KwotaKredytu),"")</f>
        <v>1403.5270852577999</v>
      </c>
      <c r="K336" s="75" cm="1">
        <f t="array" ref="K336">IF(Kredyt1[[#This Row],[Miesiąc kredytu]]="","",-PMT(Kredyt1[[#This Row],[Oprocentowanie]]/12,IlośćRat,KwotaKredytu))</f>
        <v>1556.0489869453118</v>
      </c>
      <c r="L336" s="75">
        <v>0</v>
      </c>
      <c r="M336" s="76">
        <f>IFERROR(M335-J336-Kredyt1[[#This Row],[Nadpłata]],"")</f>
        <v>44353.043420995782</v>
      </c>
    </row>
    <row r="337" spans="4:13">
      <c r="D337" s="70" cm="1">
        <f t="array" ref="D337">IF(ROW(332:332)&lt;=IlośćRat,ROW(332:332),"")</f>
        <v>332</v>
      </c>
      <c r="E337" s="70">
        <f>IFERROR(ROUNDUP(Kredyt1[[#This Row],[Miesiąc kredytu]]/12,0),"")</f>
        <v>28</v>
      </c>
      <c r="F337" s="71">
        <f t="shared" si="5"/>
        <v>54179</v>
      </c>
      <c r="G337" s="72" cm="1">
        <f t="array" ref="G337">IF(Kredyt1[[#This Row],[Data]]="","",WIBOR3M)</f>
        <v>0.02</v>
      </c>
      <c r="H337" s="72" cm="1">
        <f t="array" ref="H337">IF(Kredyt1[[#This Row],[Data]]="","",G337+MarżaBAnku)</f>
        <v>0.04</v>
      </c>
      <c r="I337" s="73">
        <f>IF(Kredyt1[[#This Row],[Data]]="","",Kredyt1[[#This Row],[Cała rata]]-Kredyt1[[#This Row],[Kapitał]])</f>
        <v>147.84347806998585</v>
      </c>
      <c r="J337" s="74" cm="1">
        <f t="array" ref="J337">IFERROR(-PPMT(Kredyt1[[#This Row],[Oprocentowanie]]/12,Kredyt1[[#This Row],[Miesiąc kredytu]],IlośćRat,KwotaKredytu),"")</f>
        <v>1408.2055088753259</v>
      </c>
      <c r="K337" s="75" cm="1">
        <f t="array" ref="K337">IF(Kredyt1[[#This Row],[Miesiąc kredytu]]="","",-PMT(Kredyt1[[#This Row],[Oprocentowanie]]/12,IlośćRat,KwotaKredytu))</f>
        <v>1556.0489869453118</v>
      </c>
      <c r="L337" s="75">
        <v>0</v>
      </c>
      <c r="M337" s="76">
        <f>IFERROR(M336-J337-Kredyt1[[#This Row],[Nadpłata]],"")</f>
        <v>42944.837912120456</v>
      </c>
    </row>
    <row r="338" spans="4:13">
      <c r="D338" s="70" cm="1">
        <f t="array" ref="D338">IF(ROW(333:333)&lt;=IlośćRat,ROW(333:333),"")</f>
        <v>333</v>
      </c>
      <c r="E338" s="70">
        <f>IFERROR(ROUNDUP(Kredyt1[[#This Row],[Miesiąc kredytu]]/12,0),"")</f>
        <v>28</v>
      </c>
      <c r="F338" s="71">
        <f t="shared" si="5"/>
        <v>54210</v>
      </c>
      <c r="G338" s="72" cm="1">
        <f t="array" ref="G338">IF(Kredyt1[[#This Row],[Data]]="","",WIBOR3M)</f>
        <v>0.02</v>
      </c>
      <c r="H338" s="72" cm="1">
        <f t="array" ref="H338">IF(Kredyt1[[#This Row],[Data]]="","",G338+MarżaBAnku)</f>
        <v>0.04</v>
      </c>
      <c r="I338" s="73">
        <f>IF(Kredyt1[[#This Row],[Data]]="","",Kredyt1[[#This Row],[Cała rata]]-Kredyt1[[#This Row],[Kapitał]])</f>
        <v>143.14945970706822</v>
      </c>
      <c r="J338" s="74" cm="1">
        <f t="array" ref="J338">IFERROR(-PPMT(Kredyt1[[#This Row],[Oprocentowanie]]/12,Kredyt1[[#This Row],[Miesiąc kredytu]],IlośćRat,KwotaKredytu),"")</f>
        <v>1412.8995272382435</v>
      </c>
      <c r="K338" s="75" cm="1">
        <f t="array" ref="K338">IF(Kredyt1[[#This Row],[Miesiąc kredytu]]="","",-PMT(Kredyt1[[#This Row],[Oprocentowanie]]/12,IlośćRat,KwotaKredytu))</f>
        <v>1556.0489869453118</v>
      </c>
      <c r="L338" s="75">
        <v>0</v>
      </c>
      <c r="M338" s="76">
        <f>IFERROR(M337-J338-Kredyt1[[#This Row],[Nadpłata]],"")</f>
        <v>41531.938384882211</v>
      </c>
    </row>
    <row r="339" spans="4:13">
      <c r="D339" s="70" cm="1">
        <f t="array" ref="D339">IF(ROW(334:334)&lt;=IlośćRat,ROW(334:334),"")</f>
        <v>334</v>
      </c>
      <c r="E339" s="70">
        <f>IFERROR(ROUNDUP(Kredyt1[[#This Row],[Miesiąc kredytu]]/12,0),"")</f>
        <v>28</v>
      </c>
      <c r="F339" s="71">
        <f t="shared" si="5"/>
        <v>54240</v>
      </c>
      <c r="G339" s="72" cm="1">
        <f t="array" ref="G339">IF(Kredyt1[[#This Row],[Data]]="","",WIBOR3M)</f>
        <v>0.02</v>
      </c>
      <c r="H339" s="72" cm="1">
        <f t="array" ref="H339">IF(Kredyt1[[#This Row],[Data]]="","",G339+MarżaBAnku)</f>
        <v>0.04</v>
      </c>
      <c r="I339" s="73">
        <f>IF(Kredyt1[[#This Row],[Data]]="","",Kredyt1[[#This Row],[Cała rata]]-Kredyt1[[#This Row],[Kapitał]])</f>
        <v>138.43979461627396</v>
      </c>
      <c r="J339" s="74" cm="1">
        <f t="array" ref="J339">IFERROR(-PPMT(Kredyt1[[#This Row],[Oprocentowanie]]/12,Kredyt1[[#This Row],[Miesiąc kredytu]],IlośćRat,KwotaKredytu),"")</f>
        <v>1417.6091923290378</v>
      </c>
      <c r="K339" s="75" cm="1">
        <f t="array" ref="K339">IF(Kredyt1[[#This Row],[Miesiąc kredytu]]="","",-PMT(Kredyt1[[#This Row],[Oprocentowanie]]/12,IlośćRat,KwotaKredytu))</f>
        <v>1556.0489869453118</v>
      </c>
      <c r="L339" s="75">
        <v>0</v>
      </c>
      <c r="M339" s="76">
        <f>IFERROR(M338-J339-Kredyt1[[#This Row],[Nadpłata]],"")</f>
        <v>40114.329192553174</v>
      </c>
    </row>
    <row r="340" spans="4:13">
      <c r="D340" s="70" cm="1">
        <f t="array" ref="D340">IF(ROW(335:335)&lt;=IlośćRat,ROW(335:335),"")</f>
        <v>335</v>
      </c>
      <c r="E340" s="70">
        <f>IFERROR(ROUNDUP(Kredyt1[[#This Row],[Miesiąc kredytu]]/12,0),"")</f>
        <v>28</v>
      </c>
      <c r="F340" s="71">
        <f t="shared" si="5"/>
        <v>54271</v>
      </c>
      <c r="G340" s="72" cm="1">
        <f t="array" ref="G340">IF(Kredyt1[[#This Row],[Data]]="","",WIBOR3M)</f>
        <v>0.02</v>
      </c>
      <c r="H340" s="72" cm="1">
        <f t="array" ref="H340">IF(Kredyt1[[#This Row],[Data]]="","",G340+MarżaBAnku)</f>
        <v>0.04</v>
      </c>
      <c r="I340" s="73">
        <f>IF(Kredyt1[[#This Row],[Data]]="","",Kredyt1[[#This Row],[Cała rata]]-Kredyt1[[#This Row],[Kapitał]])</f>
        <v>133.71443064184382</v>
      </c>
      <c r="J340" s="74" cm="1">
        <f t="array" ref="J340">IFERROR(-PPMT(Kredyt1[[#This Row],[Oprocentowanie]]/12,Kredyt1[[#This Row],[Miesiąc kredytu]],IlośćRat,KwotaKredytu),"")</f>
        <v>1422.3345563034679</v>
      </c>
      <c r="K340" s="75" cm="1">
        <f t="array" ref="K340">IF(Kredyt1[[#This Row],[Miesiąc kredytu]]="","",-PMT(Kredyt1[[#This Row],[Oprocentowanie]]/12,IlośćRat,KwotaKredytu))</f>
        <v>1556.0489869453118</v>
      </c>
      <c r="L340" s="75">
        <v>0</v>
      </c>
      <c r="M340" s="76">
        <f>IFERROR(M339-J340-Kredyt1[[#This Row],[Nadpłata]],"")</f>
        <v>38691.994636249707</v>
      </c>
    </row>
    <row r="341" spans="4:13">
      <c r="D341" s="70" cm="1">
        <f t="array" ref="D341">IF(ROW(336:336)&lt;=IlośćRat,ROW(336:336),"")</f>
        <v>336</v>
      </c>
      <c r="E341" s="70">
        <f>IFERROR(ROUNDUP(Kredyt1[[#This Row],[Miesiąc kredytu]]/12,0),"")</f>
        <v>28</v>
      </c>
      <c r="F341" s="71">
        <f t="shared" si="5"/>
        <v>54302</v>
      </c>
      <c r="G341" s="72" cm="1">
        <f t="array" ref="G341">IF(Kredyt1[[#This Row],[Data]]="","",WIBOR3M)</f>
        <v>0.02</v>
      </c>
      <c r="H341" s="72" cm="1">
        <f t="array" ref="H341">IF(Kredyt1[[#This Row],[Data]]="","",G341+MarżaBAnku)</f>
        <v>0.04</v>
      </c>
      <c r="I341" s="73">
        <f>IF(Kredyt1[[#This Row],[Data]]="","",Kredyt1[[#This Row],[Cała rata]]-Kredyt1[[#This Row],[Kapitał]])</f>
        <v>128.97331545416569</v>
      </c>
      <c r="J341" s="74" cm="1">
        <f t="array" ref="J341">IFERROR(-PPMT(Kredyt1[[#This Row],[Oprocentowanie]]/12,Kredyt1[[#This Row],[Miesiąc kredytu]],IlośćRat,KwotaKredytu),"")</f>
        <v>1427.0756714911461</v>
      </c>
      <c r="K341" s="75" cm="1">
        <f t="array" ref="K341">IF(Kredyt1[[#This Row],[Miesiąc kredytu]]="","",-PMT(Kredyt1[[#This Row],[Oprocentowanie]]/12,IlośćRat,KwotaKredytu))</f>
        <v>1556.0489869453118</v>
      </c>
      <c r="L341" s="75">
        <v>0</v>
      </c>
      <c r="M341" s="76">
        <f>IFERROR(M340-J341-Kredyt1[[#This Row],[Nadpłata]],"")</f>
        <v>37264.918964758559</v>
      </c>
    </row>
    <row r="342" spans="4:13">
      <c r="D342" s="70" cm="1">
        <f t="array" ref="D342">IF(ROW(337:337)&lt;=IlośćRat,ROW(337:337),"")</f>
        <v>337</v>
      </c>
      <c r="E342" s="70">
        <f>IFERROR(ROUNDUP(Kredyt1[[#This Row],[Miesiąc kredytu]]/12,0),"")</f>
        <v>29</v>
      </c>
      <c r="F342" s="71">
        <f t="shared" si="5"/>
        <v>54332</v>
      </c>
      <c r="G342" s="72" cm="1">
        <f t="array" ref="G342">IF(Kredyt1[[#This Row],[Data]]="","",WIBOR3M)</f>
        <v>0.02</v>
      </c>
      <c r="H342" s="72" cm="1">
        <f t="array" ref="H342">IF(Kredyt1[[#This Row],[Data]]="","",G342+MarżaBAnku)</f>
        <v>0.04</v>
      </c>
      <c r="I342" s="73">
        <f>IF(Kredyt1[[#This Row],[Data]]="","",Kredyt1[[#This Row],[Cała rata]]-Kredyt1[[#This Row],[Kapitał]])</f>
        <v>124.21639654919522</v>
      </c>
      <c r="J342" s="74" cm="1">
        <f t="array" ref="J342">IFERROR(-PPMT(Kredyt1[[#This Row],[Oprocentowanie]]/12,Kredyt1[[#This Row],[Miesiąc kredytu]],IlośćRat,KwotaKredytu),"")</f>
        <v>1431.8325903961165</v>
      </c>
      <c r="K342" s="75" cm="1">
        <f t="array" ref="K342">IF(Kredyt1[[#This Row],[Miesiąc kredytu]]="","",-PMT(Kredyt1[[#This Row],[Oprocentowanie]]/12,IlośćRat,KwotaKredytu))</f>
        <v>1556.0489869453118</v>
      </c>
      <c r="L342" s="75">
        <v>0</v>
      </c>
      <c r="M342" s="76">
        <f>IFERROR(M341-J342-Kredyt1[[#This Row],[Nadpłata]],"")</f>
        <v>35833.086374362443</v>
      </c>
    </row>
    <row r="343" spans="4:13">
      <c r="D343" s="70" cm="1">
        <f t="array" ref="D343">IF(ROW(338:338)&lt;=IlośćRat,ROW(338:338),"")</f>
        <v>338</v>
      </c>
      <c r="E343" s="70">
        <f>IFERROR(ROUNDUP(Kredyt1[[#This Row],[Miesiąc kredytu]]/12,0),"")</f>
        <v>29</v>
      </c>
      <c r="F343" s="71">
        <f t="shared" si="5"/>
        <v>54363</v>
      </c>
      <c r="G343" s="72" cm="1">
        <f t="array" ref="G343">IF(Kredyt1[[#This Row],[Data]]="","",WIBOR3M)</f>
        <v>0.02</v>
      </c>
      <c r="H343" s="72" cm="1">
        <f t="array" ref="H343">IF(Kredyt1[[#This Row],[Data]]="","",G343+MarżaBAnku)</f>
        <v>0.04</v>
      </c>
      <c r="I343" s="73">
        <f>IF(Kredyt1[[#This Row],[Data]]="","",Kredyt1[[#This Row],[Cała rata]]-Kredyt1[[#This Row],[Kapitał]])</f>
        <v>119.44362124787472</v>
      </c>
      <c r="J343" s="74" cm="1">
        <f t="array" ref="J343">IFERROR(-PPMT(Kredyt1[[#This Row],[Oprocentowanie]]/12,Kredyt1[[#This Row],[Miesiąc kredytu]],IlośćRat,KwotaKredytu),"")</f>
        <v>1436.605365697437</v>
      </c>
      <c r="K343" s="75" cm="1">
        <f t="array" ref="K343">IF(Kredyt1[[#This Row],[Miesiąc kredytu]]="","",-PMT(Kredyt1[[#This Row],[Oprocentowanie]]/12,IlośćRat,KwotaKredytu))</f>
        <v>1556.0489869453118</v>
      </c>
      <c r="L343" s="75">
        <v>0</v>
      </c>
      <c r="M343" s="76">
        <f>IFERROR(M342-J343-Kredyt1[[#This Row],[Nadpłata]],"")</f>
        <v>34396.481008665003</v>
      </c>
    </row>
    <row r="344" spans="4:13">
      <c r="D344" s="70" cm="1">
        <f t="array" ref="D344">IF(ROW(339:339)&lt;=IlośćRat,ROW(339:339),"")</f>
        <v>339</v>
      </c>
      <c r="E344" s="70">
        <f>IFERROR(ROUNDUP(Kredyt1[[#This Row],[Miesiąc kredytu]]/12,0),"")</f>
        <v>29</v>
      </c>
      <c r="F344" s="71">
        <f t="shared" si="5"/>
        <v>54393</v>
      </c>
      <c r="G344" s="72" cm="1">
        <f t="array" ref="G344">IF(Kredyt1[[#This Row],[Data]]="","",WIBOR3M)</f>
        <v>0.02</v>
      </c>
      <c r="H344" s="72" cm="1">
        <f t="array" ref="H344">IF(Kredyt1[[#This Row],[Data]]="","",G344+MarżaBAnku)</f>
        <v>0.04</v>
      </c>
      <c r="I344" s="73">
        <f>IF(Kredyt1[[#This Row],[Data]]="","",Kredyt1[[#This Row],[Cała rata]]-Kredyt1[[#This Row],[Kapitał]])</f>
        <v>114.65493669555008</v>
      </c>
      <c r="J344" s="74" cm="1">
        <f t="array" ref="J344">IFERROR(-PPMT(Kredyt1[[#This Row],[Oprocentowanie]]/12,Kredyt1[[#This Row],[Miesiąc kredytu]],IlośćRat,KwotaKredytu),"")</f>
        <v>1441.3940502497617</v>
      </c>
      <c r="K344" s="75" cm="1">
        <f t="array" ref="K344">IF(Kredyt1[[#This Row],[Miesiąc kredytu]]="","",-PMT(Kredyt1[[#This Row],[Oprocentowanie]]/12,IlośćRat,KwotaKredytu))</f>
        <v>1556.0489869453118</v>
      </c>
      <c r="L344" s="75">
        <v>0</v>
      </c>
      <c r="M344" s="76">
        <f>IFERROR(M343-J344-Kredyt1[[#This Row],[Nadpłata]],"")</f>
        <v>32955.086958415239</v>
      </c>
    </row>
    <row r="345" spans="4:13">
      <c r="D345" s="70" cm="1">
        <f t="array" ref="D345">IF(ROW(340:340)&lt;=IlośćRat,ROW(340:340),"")</f>
        <v>340</v>
      </c>
      <c r="E345" s="70">
        <f>IFERROR(ROUNDUP(Kredyt1[[#This Row],[Miesiąc kredytu]]/12,0),"")</f>
        <v>29</v>
      </c>
      <c r="F345" s="71">
        <f t="shared" si="5"/>
        <v>54424</v>
      </c>
      <c r="G345" s="72" cm="1">
        <f t="array" ref="G345">IF(Kredyt1[[#This Row],[Data]]="","",WIBOR3M)</f>
        <v>0.02</v>
      </c>
      <c r="H345" s="72" cm="1">
        <f t="array" ref="H345">IF(Kredyt1[[#This Row],[Data]]="","",G345+MarżaBAnku)</f>
        <v>0.04</v>
      </c>
      <c r="I345" s="73">
        <f>IF(Kredyt1[[#This Row],[Data]]="","",Kredyt1[[#This Row],[Cała rata]]-Kredyt1[[#This Row],[Kapitał]])</f>
        <v>109.850289861384</v>
      </c>
      <c r="J345" s="74" cm="1">
        <f t="array" ref="J345">IFERROR(-PPMT(Kredyt1[[#This Row],[Oprocentowanie]]/12,Kredyt1[[#This Row],[Miesiąc kredytu]],IlośćRat,KwotaKredytu),"")</f>
        <v>1446.1986970839278</v>
      </c>
      <c r="K345" s="75" cm="1">
        <f t="array" ref="K345">IF(Kredyt1[[#This Row],[Miesiąc kredytu]]="","",-PMT(Kredyt1[[#This Row],[Oprocentowanie]]/12,IlośćRat,KwotaKredytu))</f>
        <v>1556.0489869453118</v>
      </c>
      <c r="L345" s="75">
        <v>0</v>
      </c>
      <c r="M345" s="76">
        <f>IFERROR(M344-J345-Kredyt1[[#This Row],[Nadpłata]],"")</f>
        <v>31508.888261331311</v>
      </c>
    </row>
    <row r="346" spans="4:13">
      <c r="D346" s="70" cm="1">
        <f t="array" ref="D346">IF(ROW(341:341)&lt;=IlośćRat,ROW(341:341),"")</f>
        <v>341</v>
      </c>
      <c r="E346" s="70">
        <f>IFERROR(ROUNDUP(Kredyt1[[#This Row],[Miesiąc kredytu]]/12,0),"")</f>
        <v>29</v>
      </c>
      <c r="F346" s="71">
        <f t="shared" si="5"/>
        <v>54455</v>
      </c>
      <c r="G346" s="72" cm="1">
        <f t="array" ref="G346">IF(Kredyt1[[#This Row],[Data]]="","",WIBOR3M)</f>
        <v>0.02</v>
      </c>
      <c r="H346" s="72" cm="1">
        <f t="array" ref="H346">IF(Kredyt1[[#This Row],[Data]]="","",G346+MarżaBAnku)</f>
        <v>0.04</v>
      </c>
      <c r="I346" s="73">
        <f>IF(Kredyt1[[#This Row],[Data]]="","",Kredyt1[[#This Row],[Cała rata]]-Kredyt1[[#This Row],[Kapitał]])</f>
        <v>105.02962753777115</v>
      </c>
      <c r="J346" s="74" cm="1">
        <f t="array" ref="J346">IFERROR(-PPMT(Kredyt1[[#This Row],[Oprocentowanie]]/12,Kredyt1[[#This Row],[Miesiąc kredytu]],IlośćRat,KwotaKredytu),"")</f>
        <v>1451.0193594075406</v>
      </c>
      <c r="K346" s="75" cm="1">
        <f t="array" ref="K346">IF(Kredyt1[[#This Row],[Miesiąc kredytu]]="","",-PMT(Kredyt1[[#This Row],[Oprocentowanie]]/12,IlośćRat,KwotaKredytu))</f>
        <v>1556.0489869453118</v>
      </c>
      <c r="L346" s="75">
        <v>0</v>
      </c>
      <c r="M346" s="76">
        <f>IFERROR(M345-J346-Kredyt1[[#This Row],[Nadpłata]],"")</f>
        <v>30057.868901923772</v>
      </c>
    </row>
    <row r="347" spans="4:13">
      <c r="D347" s="70" cm="1">
        <f t="array" ref="D347">IF(ROW(342:342)&lt;=IlośćRat,ROW(342:342),"")</f>
        <v>342</v>
      </c>
      <c r="E347" s="70">
        <f>IFERROR(ROUNDUP(Kredyt1[[#This Row],[Miesiąc kredytu]]/12,0),"")</f>
        <v>29</v>
      </c>
      <c r="F347" s="71">
        <f t="shared" si="5"/>
        <v>54483</v>
      </c>
      <c r="G347" s="72" cm="1">
        <f t="array" ref="G347">IF(Kredyt1[[#This Row],[Data]]="","",WIBOR3M)</f>
        <v>0.02</v>
      </c>
      <c r="H347" s="72" cm="1">
        <f t="array" ref="H347">IF(Kredyt1[[#This Row],[Data]]="","",G347+MarżaBAnku)</f>
        <v>0.04</v>
      </c>
      <c r="I347" s="73">
        <f>IF(Kredyt1[[#This Row],[Data]]="","",Kredyt1[[#This Row],[Cała rata]]-Kredyt1[[#This Row],[Kapitał]])</f>
        <v>100.19289633974586</v>
      </c>
      <c r="J347" s="74" cm="1">
        <f t="array" ref="J347">IFERROR(-PPMT(Kredyt1[[#This Row],[Oprocentowanie]]/12,Kredyt1[[#This Row],[Miesiąc kredytu]],IlośćRat,KwotaKredytu),"")</f>
        <v>1455.8560906055659</v>
      </c>
      <c r="K347" s="75" cm="1">
        <f t="array" ref="K347">IF(Kredyt1[[#This Row],[Miesiąc kredytu]]="","",-PMT(Kredyt1[[#This Row],[Oprocentowanie]]/12,IlośćRat,KwotaKredytu))</f>
        <v>1556.0489869453118</v>
      </c>
      <c r="L347" s="75">
        <v>0</v>
      </c>
      <c r="M347" s="76">
        <f>IFERROR(M346-J347-Kredyt1[[#This Row],[Nadpłata]],"")</f>
        <v>28602.012811318207</v>
      </c>
    </row>
    <row r="348" spans="4:13">
      <c r="D348" s="70" cm="1">
        <f t="array" ref="D348">IF(ROW(343:343)&lt;=IlośćRat,ROW(343:343),"")</f>
        <v>343</v>
      </c>
      <c r="E348" s="70">
        <f>IFERROR(ROUNDUP(Kredyt1[[#This Row],[Miesiąc kredytu]]/12,0),"")</f>
        <v>29</v>
      </c>
      <c r="F348" s="71">
        <f t="shared" si="5"/>
        <v>54514</v>
      </c>
      <c r="G348" s="72" cm="1">
        <f t="array" ref="G348">IF(Kredyt1[[#This Row],[Data]]="","",WIBOR3M)</f>
        <v>0.02</v>
      </c>
      <c r="H348" s="72" cm="1">
        <f t="array" ref="H348">IF(Kredyt1[[#This Row],[Data]]="","",G348+MarżaBAnku)</f>
        <v>0.04</v>
      </c>
      <c r="I348" s="73">
        <f>IF(Kredyt1[[#This Row],[Data]]="","",Kredyt1[[#This Row],[Cała rata]]-Kredyt1[[#This Row],[Kapitał]])</f>
        <v>95.340042704393909</v>
      </c>
      <c r="J348" s="74" cm="1">
        <f t="array" ref="J348">IFERROR(-PPMT(Kredyt1[[#This Row],[Oprocentowanie]]/12,Kredyt1[[#This Row],[Miesiąc kredytu]],IlośćRat,KwotaKredytu),"")</f>
        <v>1460.7089442409178</v>
      </c>
      <c r="K348" s="75" cm="1">
        <f t="array" ref="K348">IF(Kredyt1[[#This Row],[Miesiąc kredytu]]="","",-PMT(Kredyt1[[#This Row],[Oprocentowanie]]/12,IlośćRat,KwotaKredytu))</f>
        <v>1556.0489869453118</v>
      </c>
      <c r="L348" s="75">
        <v>0</v>
      </c>
      <c r="M348" s="76">
        <f>IFERROR(M347-J348-Kredyt1[[#This Row],[Nadpłata]],"")</f>
        <v>27141.303867077288</v>
      </c>
    </row>
    <row r="349" spans="4:13">
      <c r="D349" s="70" cm="1">
        <f t="array" ref="D349">IF(ROW(344:344)&lt;=IlośćRat,ROW(344:344),"")</f>
        <v>344</v>
      </c>
      <c r="E349" s="70">
        <f>IFERROR(ROUNDUP(Kredyt1[[#This Row],[Miesiąc kredytu]]/12,0),"")</f>
        <v>29</v>
      </c>
      <c r="F349" s="71">
        <f t="shared" si="5"/>
        <v>54544</v>
      </c>
      <c r="G349" s="72" cm="1">
        <f t="array" ref="G349">IF(Kredyt1[[#This Row],[Data]]="","",WIBOR3M)</f>
        <v>0.02</v>
      </c>
      <c r="H349" s="72" cm="1">
        <f t="array" ref="H349">IF(Kredyt1[[#This Row],[Data]]="","",G349+MarżaBAnku)</f>
        <v>0.04</v>
      </c>
      <c r="I349" s="73">
        <f>IF(Kredyt1[[#This Row],[Data]]="","",Kredyt1[[#This Row],[Cała rata]]-Kredyt1[[#This Row],[Kapitał]])</f>
        <v>90.471012890257725</v>
      </c>
      <c r="J349" s="74" cm="1">
        <f t="array" ref="J349">IFERROR(-PPMT(Kredyt1[[#This Row],[Oprocentowanie]]/12,Kredyt1[[#This Row],[Miesiąc kredytu]],IlośćRat,KwotaKredytu),"")</f>
        <v>1465.577974055054</v>
      </c>
      <c r="K349" s="75" cm="1">
        <f t="array" ref="K349">IF(Kredyt1[[#This Row],[Miesiąc kredytu]]="","",-PMT(Kredyt1[[#This Row],[Oprocentowanie]]/12,IlośćRat,KwotaKredytu))</f>
        <v>1556.0489869453118</v>
      </c>
      <c r="L349" s="75">
        <v>0</v>
      </c>
      <c r="M349" s="76">
        <f>IFERROR(M348-J349-Kredyt1[[#This Row],[Nadpłata]],"")</f>
        <v>25675.725893022234</v>
      </c>
    </row>
    <row r="350" spans="4:13">
      <c r="D350" s="70" cm="1">
        <f t="array" ref="D350">IF(ROW(345:345)&lt;=IlośćRat,ROW(345:345),"")</f>
        <v>345</v>
      </c>
      <c r="E350" s="70">
        <f>IFERROR(ROUNDUP(Kredyt1[[#This Row],[Miesiąc kredytu]]/12,0),"")</f>
        <v>29</v>
      </c>
      <c r="F350" s="71">
        <f t="shared" si="5"/>
        <v>54575</v>
      </c>
      <c r="G350" s="72" cm="1">
        <f t="array" ref="G350">IF(Kredyt1[[#This Row],[Data]]="","",WIBOR3M)</f>
        <v>0.02</v>
      </c>
      <c r="H350" s="72" cm="1">
        <f t="array" ref="H350">IF(Kredyt1[[#This Row],[Data]]="","",G350+MarżaBAnku)</f>
        <v>0.04</v>
      </c>
      <c r="I350" s="73">
        <f>IF(Kredyt1[[#This Row],[Data]]="","",Kredyt1[[#This Row],[Cała rata]]-Kredyt1[[#This Row],[Kapitał]])</f>
        <v>85.58575297674065</v>
      </c>
      <c r="J350" s="74" cm="1">
        <f t="array" ref="J350">IFERROR(-PPMT(Kredyt1[[#This Row],[Oprocentowanie]]/12,Kredyt1[[#This Row],[Miesiąc kredytu]],IlośćRat,KwotaKredytu),"")</f>
        <v>1470.4632339685711</v>
      </c>
      <c r="K350" s="75" cm="1">
        <f t="array" ref="K350">IF(Kredyt1[[#This Row],[Miesiąc kredytu]]="","",-PMT(Kredyt1[[#This Row],[Oprocentowanie]]/12,IlośćRat,KwotaKredytu))</f>
        <v>1556.0489869453118</v>
      </c>
      <c r="L350" s="75">
        <v>0</v>
      </c>
      <c r="M350" s="76">
        <f>IFERROR(M349-J350-Kredyt1[[#This Row],[Nadpłata]],"")</f>
        <v>24205.262659053664</v>
      </c>
    </row>
    <row r="351" spans="4:13">
      <c r="D351" s="70" cm="1">
        <f t="array" ref="D351">IF(ROW(346:346)&lt;=IlośćRat,ROW(346:346),"")</f>
        <v>346</v>
      </c>
      <c r="E351" s="70">
        <f>IFERROR(ROUNDUP(Kredyt1[[#This Row],[Miesiąc kredytu]]/12,0),"")</f>
        <v>29</v>
      </c>
      <c r="F351" s="71">
        <f t="shared" si="5"/>
        <v>54605</v>
      </c>
      <c r="G351" s="72" cm="1">
        <f t="array" ref="G351">IF(Kredyt1[[#This Row],[Data]]="","",WIBOR3M)</f>
        <v>0.02</v>
      </c>
      <c r="H351" s="72" cm="1">
        <f t="array" ref="H351">IF(Kredyt1[[#This Row],[Data]]="","",G351+MarżaBAnku)</f>
        <v>0.04</v>
      </c>
      <c r="I351" s="73">
        <f>IF(Kredyt1[[#This Row],[Data]]="","",Kredyt1[[#This Row],[Cała rata]]-Kredyt1[[#This Row],[Kapitał]])</f>
        <v>80.68420886351214</v>
      </c>
      <c r="J351" s="74" cm="1">
        <f t="array" ref="J351">IFERROR(-PPMT(Kredyt1[[#This Row],[Oprocentowanie]]/12,Kredyt1[[#This Row],[Miesiąc kredytu]],IlośćRat,KwotaKredytu),"")</f>
        <v>1475.3647780817996</v>
      </c>
      <c r="K351" s="75" cm="1">
        <f t="array" ref="K351">IF(Kredyt1[[#This Row],[Miesiąc kredytu]]="","",-PMT(Kredyt1[[#This Row],[Oprocentowanie]]/12,IlośćRat,KwotaKredytu))</f>
        <v>1556.0489869453118</v>
      </c>
      <c r="L351" s="75">
        <v>0</v>
      </c>
      <c r="M351" s="76">
        <f>IFERROR(M350-J351-Kredyt1[[#This Row],[Nadpłata]],"")</f>
        <v>22729.897880971865</v>
      </c>
    </row>
    <row r="352" spans="4:13">
      <c r="D352" s="70" cm="1">
        <f t="array" ref="D352">IF(ROW(347:347)&lt;=IlośćRat,ROW(347:347),"")</f>
        <v>347</v>
      </c>
      <c r="E352" s="70">
        <f>IFERROR(ROUNDUP(Kredyt1[[#This Row],[Miesiąc kredytu]]/12,0),"")</f>
        <v>29</v>
      </c>
      <c r="F352" s="71">
        <f t="shared" si="5"/>
        <v>54636</v>
      </c>
      <c r="G352" s="72" cm="1">
        <f t="array" ref="G352">IF(Kredyt1[[#This Row],[Data]]="","",WIBOR3M)</f>
        <v>0.02</v>
      </c>
      <c r="H352" s="72" cm="1">
        <f t="array" ref="H352">IF(Kredyt1[[#This Row],[Data]]="","",G352+MarżaBAnku)</f>
        <v>0.04</v>
      </c>
      <c r="I352" s="73">
        <f>IF(Kredyt1[[#This Row],[Data]]="","",Kredyt1[[#This Row],[Cała rata]]-Kredyt1[[#This Row],[Kapitał]])</f>
        <v>75.766326269906131</v>
      </c>
      <c r="J352" s="74" cm="1">
        <f t="array" ref="J352">IFERROR(-PPMT(Kredyt1[[#This Row],[Oprocentowanie]]/12,Kredyt1[[#This Row],[Miesiąc kredytu]],IlośćRat,KwotaKredytu),"")</f>
        <v>1480.2826606754056</v>
      </c>
      <c r="K352" s="75" cm="1">
        <f t="array" ref="K352">IF(Kredyt1[[#This Row],[Miesiąc kredytu]]="","",-PMT(Kredyt1[[#This Row],[Oprocentowanie]]/12,IlośćRat,KwotaKredytu))</f>
        <v>1556.0489869453118</v>
      </c>
      <c r="L352" s="75">
        <v>0</v>
      </c>
      <c r="M352" s="76">
        <f>IFERROR(M351-J352-Kredyt1[[#This Row],[Nadpłata]],"")</f>
        <v>21249.615220296459</v>
      </c>
    </row>
    <row r="353" spans="4:13">
      <c r="D353" s="70" cm="1">
        <f t="array" ref="D353">IF(ROW(348:348)&lt;=IlośćRat,ROW(348:348),"")</f>
        <v>348</v>
      </c>
      <c r="E353" s="70">
        <f>IFERROR(ROUNDUP(Kredyt1[[#This Row],[Miesiąc kredytu]]/12,0),"")</f>
        <v>29</v>
      </c>
      <c r="F353" s="71">
        <f t="shared" si="5"/>
        <v>54667</v>
      </c>
      <c r="G353" s="72" cm="1">
        <f t="array" ref="G353">IF(Kredyt1[[#This Row],[Data]]="","",WIBOR3M)</f>
        <v>0.02</v>
      </c>
      <c r="H353" s="72" cm="1">
        <f t="array" ref="H353">IF(Kredyt1[[#This Row],[Data]]="","",G353+MarżaBAnku)</f>
        <v>0.04</v>
      </c>
      <c r="I353" s="73">
        <f>IF(Kredyt1[[#This Row],[Data]]="","",Kredyt1[[#This Row],[Cała rata]]-Kredyt1[[#This Row],[Kapitał]])</f>
        <v>70.832050734321456</v>
      </c>
      <c r="J353" s="74" cm="1">
        <f t="array" ref="J353">IFERROR(-PPMT(Kredyt1[[#This Row],[Oprocentowanie]]/12,Kredyt1[[#This Row],[Miesiąc kredytu]],IlośćRat,KwotaKredytu),"")</f>
        <v>1485.2169362109903</v>
      </c>
      <c r="K353" s="75" cm="1">
        <f t="array" ref="K353">IF(Kredyt1[[#This Row],[Miesiąc kredytu]]="","",-PMT(Kredyt1[[#This Row],[Oprocentowanie]]/12,IlośćRat,KwotaKredytu))</f>
        <v>1556.0489869453118</v>
      </c>
      <c r="L353" s="75">
        <v>0</v>
      </c>
      <c r="M353" s="76">
        <f>IFERROR(M352-J353-Kredyt1[[#This Row],[Nadpłata]],"")</f>
        <v>19764.39828408547</v>
      </c>
    </row>
    <row r="354" spans="4:13">
      <c r="D354" s="70" cm="1">
        <f t="array" ref="D354">IF(ROW(349:349)&lt;=IlośćRat,ROW(349:349),"")</f>
        <v>349</v>
      </c>
      <c r="E354" s="70">
        <f>IFERROR(ROUNDUP(Kredyt1[[#This Row],[Miesiąc kredytu]]/12,0),"")</f>
        <v>30</v>
      </c>
      <c r="F354" s="71">
        <f t="shared" si="5"/>
        <v>54697</v>
      </c>
      <c r="G354" s="72" cm="1">
        <f t="array" ref="G354">IF(Kredyt1[[#This Row],[Data]]="","",WIBOR3M)</f>
        <v>0.02</v>
      </c>
      <c r="H354" s="72" cm="1">
        <f t="array" ref="H354">IF(Kredyt1[[#This Row],[Data]]="","",G354+MarżaBAnku)</f>
        <v>0.04</v>
      </c>
      <c r="I354" s="73">
        <f>IF(Kredyt1[[#This Row],[Data]]="","",Kredyt1[[#This Row],[Cała rata]]-Kredyt1[[#This Row],[Kapitał]])</f>
        <v>65.881327613618168</v>
      </c>
      <c r="J354" s="74" cm="1">
        <f t="array" ref="J354">IFERROR(-PPMT(Kredyt1[[#This Row],[Oprocentowanie]]/12,Kredyt1[[#This Row],[Miesiąc kredytu]],IlośćRat,KwotaKredytu),"")</f>
        <v>1490.1676593316936</v>
      </c>
      <c r="K354" s="75" cm="1">
        <f t="array" ref="K354">IF(Kredyt1[[#This Row],[Miesiąc kredytu]]="","",-PMT(Kredyt1[[#This Row],[Oprocentowanie]]/12,IlośćRat,KwotaKredytu))</f>
        <v>1556.0489869453118</v>
      </c>
      <c r="L354" s="75">
        <v>0</v>
      </c>
      <c r="M354" s="76">
        <f>IFERROR(M353-J354-Kredyt1[[#This Row],[Nadpłata]],"")</f>
        <v>18274.230624753774</v>
      </c>
    </row>
    <row r="355" spans="4:13">
      <c r="D355" s="70" cm="1">
        <f t="array" ref="D355">IF(ROW(350:350)&lt;=IlośćRat,ROW(350:350),"")</f>
        <v>350</v>
      </c>
      <c r="E355" s="70">
        <f>IFERROR(ROUNDUP(Kredyt1[[#This Row],[Miesiąc kredytu]]/12,0),"")</f>
        <v>30</v>
      </c>
      <c r="F355" s="71">
        <f t="shared" si="5"/>
        <v>54728</v>
      </c>
      <c r="G355" s="72" cm="1">
        <f t="array" ref="G355">IF(Kredyt1[[#This Row],[Data]]="","",WIBOR3M)</f>
        <v>0.02</v>
      </c>
      <c r="H355" s="72" cm="1">
        <f t="array" ref="H355">IF(Kredyt1[[#This Row],[Data]]="","",G355+MarżaBAnku)</f>
        <v>0.04</v>
      </c>
      <c r="I355" s="73">
        <f>IF(Kredyt1[[#This Row],[Data]]="","",Kredyt1[[#This Row],[Cała rata]]-Kredyt1[[#This Row],[Kapitał]])</f>
        <v>60.9141020825125</v>
      </c>
      <c r="J355" s="74" cm="1">
        <f t="array" ref="J355">IFERROR(-PPMT(Kredyt1[[#This Row],[Oprocentowanie]]/12,Kredyt1[[#This Row],[Miesiąc kredytu]],IlośćRat,KwotaKredytu),"")</f>
        <v>1495.1348848627993</v>
      </c>
      <c r="K355" s="75" cm="1">
        <f t="array" ref="K355">IF(Kredyt1[[#This Row],[Miesiąc kredytu]]="","",-PMT(Kredyt1[[#This Row],[Oprocentowanie]]/12,IlośćRat,KwotaKredytu))</f>
        <v>1556.0489869453118</v>
      </c>
      <c r="L355" s="75">
        <v>0</v>
      </c>
      <c r="M355" s="76">
        <f>IFERROR(M354-J355-Kredyt1[[#This Row],[Nadpłata]],"")</f>
        <v>16779.095739890974</v>
      </c>
    </row>
    <row r="356" spans="4:13">
      <c r="D356" s="70" cm="1">
        <f t="array" ref="D356">IF(ROW(351:351)&lt;=IlośćRat,ROW(351:351),"")</f>
        <v>351</v>
      </c>
      <c r="E356" s="70">
        <f>IFERROR(ROUNDUP(Kredyt1[[#This Row],[Miesiąc kredytu]]/12,0),"")</f>
        <v>30</v>
      </c>
      <c r="F356" s="71">
        <f t="shared" si="5"/>
        <v>54758</v>
      </c>
      <c r="G356" s="72" cm="1">
        <f t="array" ref="G356">IF(Kredyt1[[#This Row],[Data]]="","",WIBOR3M)</f>
        <v>0.02</v>
      </c>
      <c r="H356" s="72" cm="1">
        <f t="array" ref="H356">IF(Kredyt1[[#This Row],[Data]]="","",G356+MarżaBAnku)</f>
        <v>0.04</v>
      </c>
      <c r="I356" s="73">
        <f>IF(Kredyt1[[#This Row],[Data]]="","",Kredyt1[[#This Row],[Cała rata]]-Kredyt1[[#This Row],[Kapitał]])</f>
        <v>55.930319132969771</v>
      </c>
      <c r="J356" s="74" cm="1">
        <f t="array" ref="J356">IFERROR(-PPMT(Kredyt1[[#This Row],[Oprocentowanie]]/12,Kredyt1[[#This Row],[Miesiąc kredytu]],IlośćRat,KwotaKredytu),"")</f>
        <v>1500.118667812342</v>
      </c>
      <c r="K356" s="75" cm="1">
        <f t="array" ref="K356">IF(Kredyt1[[#This Row],[Miesiąc kredytu]]="","",-PMT(Kredyt1[[#This Row],[Oprocentowanie]]/12,IlośćRat,KwotaKredytu))</f>
        <v>1556.0489869453118</v>
      </c>
      <c r="L356" s="75">
        <v>0</v>
      </c>
      <c r="M356" s="76">
        <f>IFERROR(M355-J356-Kredyt1[[#This Row],[Nadpłata]],"")</f>
        <v>15278.977072078633</v>
      </c>
    </row>
    <row r="357" spans="4:13">
      <c r="D357" s="70" cm="1">
        <f t="array" ref="D357">IF(ROW(352:352)&lt;=IlośćRat,ROW(352:352),"")</f>
        <v>352</v>
      </c>
      <c r="E357" s="70">
        <f>IFERROR(ROUNDUP(Kredyt1[[#This Row],[Miesiąc kredytu]]/12,0),"")</f>
        <v>30</v>
      </c>
      <c r="F357" s="71">
        <f t="shared" si="5"/>
        <v>54789</v>
      </c>
      <c r="G357" s="72" cm="1">
        <f t="array" ref="G357">IF(Kredyt1[[#This Row],[Data]]="","",WIBOR3M)</f>
        <v>0.02</v>
      </c>
      <c r="H357" s="72" cm="1">
        <f t="array" ref="H357">IF(Kredyt1[[#This Row],[Data]]="","",G357+MarżaBAnku)</f>
        <v>0.04</v>
      </c>
      <c r="I357" s="73">
        <f>IF(Kredyt1[[#This Row],[Data]]="","",Kredyt1[[#This Row],[Cała rata]]-Kredyt1[[#This Row],[Kapitał]])</f>
        <v>50.929923573595488</v>
      </c>
      <c r="J357" s="74" cm="1">
        <f t="array" ref="J357">IFERROR(-PPMT(Kredyt1[[#This Row],[Oprocentowanie]]/12,Kredyt1[[#This Row],[Miesiąc kredytu]],IlośćRat,KwotaKredytu),"")</f>
        <v>1505.1190633717163</v>
      </c>
      <c r="K357" s="75" cm="1">
        <f t="array" ref="K357">IF(Kredyt1[[#This Row],[Miesiąc kredytu]]="","",-PMT(Kredyt1[[#This Row],[Oprocentowanie]]/12,IlośćRat,KwotaKredytu))</f>
        <v>1556.0489869453118</v>
      </c>
      <c r="L357" s="75">
        <v>0</v>
      </c>
      <c r="M357" s="76">
        <f>IFERROR(M356-J357-Kredyt1[[#This Row],[Nadpłata]],"")</f>
        <v>13773.858008706917</v>
      </c>
    </row>
    <row r="358" spans="4:13">
      <c r="D358" s="70" cm="1">
        <f t="array" ref="D358">IF(ROW(353:353)&lt;=IlośćRat,ROW(353:353),"")</f>
        <v>353</v>
      </c>
      <c r="E358" s="70">
        <f>IFERROR(ROUNDUP(Kredyt1[[#This Row],[Miesiąc kredytu]]/12,0),"")</f>
        <v>30</v>
      </c>
      <c r="F358" s="71">
        <f t="shared" si="5"/>
        <v>54820</v>
      </c>
      <c r="G358" s="72" cm="1">
        <f t="array" ref="G358">IF(Kredyt1[[#This Row],[Data]]="","",WIBOR3M)</f>
        <v>0.02</v>
      </c>
      <c r="H358" s="72" cm="1">
        <f t="array" ref="H358">IF(Kredyt1[[#This Row],[Data]]="","",G358+MarżaBAnku)</f>
        <v>0.04</v>
      </c>
      <c r="I358" s="73">
        <f>IF(Kredyt1[[#This Row],[Data]]="","",Kredyt1[[#This Row],[Cała rata]]-Kredyt1[[#This Row],[Kapitał]])</f>
        <v>45.912860029023022</v>
      </c>
      <c r="J358" s="74" cm="1">
        <f t="array" ref="J358">IFERROR(-PPMT(Kredyt1[[#This Row],[Oprocentowanie]]/12,Kredyt1[[#This Row],[Miesiąc kredytu]],IlośćRat,KwotaKredytu),"")</f>
        <v>1510.1361269162887</v>
      </c>
      <c r="K358" s="75" cm="1">
        <f t="array" ref="K358">IF(Kredyt1[[#This Row],[Miesiąc kredytu]]="","",-PMT(Kredyt1[[#This Row],[Oprocentowanie]]/12,IlośćRat,KwotaKredytu))</f>
        <v>1556.0489869453118</v>
      </c>
      <c r="L358" s="75">
        <v>0</v>
      </c>
      <c r="M358" s="76">
        <f>IFERROR(M357-J358-Kredyt1[[#This Row],[Nadpłata]],"")</f>
        <v>12263.721881790629</v>
      </c>
    </row>
    <row r="359" spans="4:13">
      <c r="D359" s="70" cm="1">
        <f t="array" ref="D359">IF(ROW(354:354)&lt;=IlośćRat,ROW(354:354),"")</f>
        <v>354</v>
      </c>
      <c r="E359" s="70">
        <f>IFERROR(ROUNDUP(Kredyt1[[#This Row],[Miesiąc kredytu]]/12,0),"")</f>
        <v>30</v>
      </c>
      <c r="F359" s="71">
        <f t="shared" si="5"/>
        <v>54848</v>
      </c>
      <c r="G359" s="72" cm="1">
        <f t="array" ref="G359">IF(Kredyt1[[#This Row],[Data]]="","",WIBOR3M)</f>
        <v>0.02</v>
      </c>
      <c r="H359" s="72" cm="1">
        <f t="array" ref="H359">IF(Kredyt1[[#This Row],[Data]]="","",G359+MarżaBAnku)</f>
        <v>0.04</v>
      </c>
      <c r="I359" s="73">
        <f>IF(Kredyt1[[#This Row],[Data]]="","",Kredyt1[[#This Row],[Cała rata]]-Kredyt1[[#This Row],[Kapitał]])</f>
        <v>40.879072939302205</v>
      </c>
      <c r="J359" s="74" cm="1">
        <f t="array" ref="J359">IFERROR(-PPMT(Kredyt1[[#This Row],[Oprocentowanie]]/12,Kredyt1[[#This Row],[Miesiąc kredytu]],IlośćRat,KwotaKredytu),"")</f>
        <v>1515.1699140060095</v>
      </c>
      <c r="K359" s="75" cm="1">
        <f t="array" ref="K359">IF(Kredyt1[[#This Row],[Miesiąc kredytu]]="","",-PMT(Kredyt1[[#This Row],[Oprocentowanie]]/12,IlośćRat,KwotaKredytu))</f>
        <v>1556.0489869453118</v>
      </c>
      <c r="L359" s="75">
        <v>0</v>
      </c>
      <c r="M359" s="76">
        <f>IFERROR(M358-J359-Kredyt1[[#This Row],[Nadpłata]],"")</f>
        <v>10748.551967784619</v>
      </c>
    </row>
    <row r="360" spans="4:13">
      <c r="D360" s="70" cm="1">
        <f t="array" ref="D360">IF(ROW(355:355)&lt;=IlośćRat,ROW(355:355),"")</f>
        <v>355</v>
      </c>
      <c r="E360" s="70">
        <f>IFERROR(ROUNDUP(Kredyt1[[#This Row],[Miesiąc kredytu]]/12,0),"")</f>
        <v>30</v>
      </c>
      <c r="F360" s="71">
        <f t="shared" si="5"/>
        <v>54879</v>
      </c>
      <c r="G360" s="72" cm="1">
        <f t="array" ref="G360">IF(Kredyt1[[#This Row],[Data]]="","",WIBOR3M)</f>
        <v>0.02</v>
      </c>
      <c r="H360" s="72" cm="1">
        <f t="array" ref="H360">IF(Kredyt1[[#This Row],[Data]]="","",G360+MarżaBAnku)</f>
        <v>0.04</v>
      </c>
      <c r="I360" s="73">
        <f>IF(Kredyt1[[#This Row],[Data]]="","",Kredyt1[[#This Row],[Cała rata]]-Kredyt1[[#This Row],[Kapitał]])</f>
        <v>35.828506559282005</v>
      </c>
      <c r="J360" s="74" cm="1">
        <f t="array" ref="J360">IFERROR(-PPMT(Kredyt1[[#This Row],[Oprocentowanie]]/12,Kredyt1[[#This Row],[Miesiąc kredytu]],IlośćRat,KwotaKredytu),"")</f>
        <v>1520.2204803860297</v>
      </c>
      <c r="K360" s="75" cm="1">
        <f t="array" ref="K360">IF(Kredyt1[[#This Row],[Miesiąc kredytu]]="","",-PMT(Kredyt1[[#This Row],[Oprocentowanie]]/12,IlośćRat,KwotaKredytu))</f>
        <v>1556.0489869453118</v>
      </c>
      <c r="L360" s="75">
        <v>0</v>
      </c>
      <c r="M360" s="76">
        <f>IFERROR(M359-J360-Kredyt1[[#This Row],[Nadpłata]],"")</f>
        <v>9228.3314873985892</v>
      </c>
    </row>
    <row r="361" spans="4:13">
      <c r="D361" s="70" cm="1">
        <f t="array" ref="D361">IF(ROW(356:356)&lt;=IlośćRat,ROW(356:356),"")</f>
        <v>356</v>
      </c>
      <c r="E361" s="70">
        <f>IFERROR(ROUNDUP(Kredyt1[[#This Row],[Miesiąc kredytu]]/12,0),"")</f>
        <v>30</v>
      </c>
      <c r="F361" s="71">
        <f t="shared" si="5"/>
        <v>54909</v>
      </c>
      <c r="G361" s="72" cm="1">
        <f t="array" ref="G361">IF(Kredyt1[[#This Row],[Data]]="","",WIBOR3M)</f>
        <v>0.02</v>
      </c>
      <c r="H361" s="72" cm="1">
        <f t="array" ref="H361">IF(Kredyt1[[#This Row],[Data]]="","",G361+MarżaBAnku)</f>
        <v>0.04</v>
      </c>
      <c r="I361" s="73">
        <f>IF(Kredyt1[[#This Row],[Data]]="","",Kredyt1[[#This Row],[Cała rata]]-Kredyt1[[#This Row],[Kapitał]])</f>
        <v>30.761104957995485</v>
      </c>
      <c r="J361" s="74" cm="1">
        <f t="array" ref="J361">IFERROR(-PPMT(Kredyt1[[#This Row],[Oprocentowanie]]/12,Kredyt1[[#This Row],[Miesiąc kredytu]],IlośćRat,KwotaKredytu),"")</f>
        <v>1525.2878819873163</v>
      </c>
      <c r="K361" s="75" cm="1">
        <f t="array" ref="K361">IF(Kredyt1[[#This Row],[Miesiąc kredytu]]="","",-PMT(Kredyt1[[#This Row],[Oprocentowanie]]/12,IlośćRat,KwotaKredytu))</f>
        <v>1556.0489869453118</v>
      </c>
      <c r="L361" s="75">
        <v>0</v>
      </c>
      <c r="M361" s="76">
        <f>IFERROR(M360-J361-Kredyt1[[#This Row],[Nadpłata]],"")</f>
        <v>7703.0436054112724</v>
      </c>
    </row>
    <row r="362" spans="4:13">
      <c r="D362" s="70" cm="1">
        <f t="array" ref="D362">IF(ROW(357:357)&lt;=IlośćRat,ROW(357:357),"")</f>
        <v>357</v>
      </c>
      <c r="E362" s="70">
        <f>IFERROR(ROUNDUP(Kredyt1[[#This Row],[Miesiąc kredytu]]/12,0),"")</f>
        <v>30</v>
      </c>
      <c r="F362" s="71">
        <f t="shared" si="5"/>
        <v>54940</v>
      </c>
      <c r="G362" s="72" cm="1">
        <f t="array" ref="G362">IF(Kredyt1[[#This Row],[Data]]="","",WIBOR3M)</f>
        <v>0.02</v>
      </c>
      <c r="H362" s="72" cm="1">
        <f t="array" ref="H362">IF(Kredyt1[[#This Row],[Data]]="","",G362+MarżaBAnku)</f>
        <v>0.04</v>
      </c>
      <c r="I362" s="73">
        <f>IF(Kredyt1[[#This Row],[Data]]="","",Kredyt1[[#This Row],[Cała rata]]-Kredyt1[[#This Row],[Kapitał]])</f>
        <v>25.676812018037481</v>
      </c>
      <c r="J362" s="74" cm="1">
        <f t="array" ref="J362">IFERROR(-PPMT(Kredyt1[[#This Row],[Oprocentowanie]]/12,Kredyt1[[#This Row],[Miesiąc kredytu]],IlośćRat,KwotaKredytu),"")</f>
        <v>1530.3721749272743</v>
      </c>
      <c r="K362" s="75" cm="1">
        <f t="array" ref="K362">IF(Kredyt1[[#This Row],[Miesiąc kredytu]]="","",-PMT(Kredyt1[[#This Row],[Oprocentowanie]]/12,IlośćRat,KwotaKredytu))</f>
        <v>1556.0489869453118</v>
      </c>
      <c r="L362" s="75">
        <v>0</v>
      </c>
      <c r="M362" s="76">
        <f>IFERROR(M361-J362-Kredyt1[[#This Row],[Nadpłata]],"")</f>
        <v>6172.6714304839979</v>
      </c>
    </row>
    <row r="363" spans="4:13">
      <c r="D363" s="70" cm="1">
        <f t="array" ref="D363">IF(ROW(358:358)&lt;=IlośćRat,ROW(358:358),"")</f>
        <v>358</v>
      </c>
      <c r="E363" s="70">
        <f>IFERROR(ROUNDUP(Kredyt1[[#This Row],[Miesiąc kredytu]]/12,0),"")</f>
        <v>30</v>
      </c>
      <c r="F363" s="71">
        <f t="shared" si="5"/>
        <v>54970</v>
      </c>
      <c r="G363" s="72" cm="1">
        <f t="array" ref="G363">IF(Kredyt1[[#This Row],[Data]]="","",WIBOR3M)</f>
        <v>0.02</v>
      </c>
      <c r="H363" s="72" cm="1">
        <f t="array" ref="H363">IF(Kredyt1[[#This Row],[Data]]="","",G363+MarżaBAnku)</f>
        <v>0.04</v>
      </c>
      <c r="I363" s="73">
        <f>IF(Kredyt1[[#This Row],[Data]]="","",Kredyt1[[#This Row],[Cała rata]]-Kredyt1[[#This Row],[Kapitał]])</f>
        <v>20.575571434946596</v>
      </c>
      <c r="J363" s="74" cm="1">
        <f t="array" ref="J363">IFERROR(-PPMT(Kredyt1[[#This Row],[Oprocentowanie]]/12,Kredyt1[[#This Row],[Miesiąc kredytu]],IlośćRat,KwotaKredytu),"")</f>
        <v>1535.4734155103652</v>
      </c>
      <c r="K363" s="75" cm="1">
        <f t="array" ref="K363">IF(Kredyt1[[#This Row],[Miesiąc kredytu]]="","",-PMT(Kredyt1[[#This Row],[Oprocentowanie]]/12,IlośćRat,KwotaKredytu))</f>
        <v>1556.0489869453118</v>
      </c>
      <c r="L363" s="75">
        <v>0</v>
      </c>
      <c r="M363" s="76">
        <f>IFERROR(M362-J363-Kredyt1[[#This Row],[Nadpłata]],"")</f>
        <v>4637.1980149736328</v>
      </c>
    </row>
    <row r="364" spans="4:13">
      <c r="D364" s="70" cm="1">
        <f t="array" ref="D364">IF(ROW(359:359)&lt;=IlośćRat,ROW(359:359),"")</f>
        <v>359</v>
      </c>
      <c r="E364" s="70">
        <f>IFERROR(ROUNDUP(Kredyt1[[#This Row],[Miesiąc kredytu]]/12,0),"")</f>
        <v>30</v>
      </c>
      <c r="F364" s="71">
        <f t="shared" si="5"/>
        <v>55001</v>
      </c>
      <c r="G364" s="72" cm="1">
        <f t="array" ref="G364">IF(Kredyt1[[#This Row],[Data]]="","",WIBOR3M)</f>
        <v>0.02</v>
      </c>
      <c r="H364" s="72" cm="1">
        <f t="array" ref="H364">IF(Kredyt1[[#This Row],[Data]]="","",G364+MarżaBAnku)</f>
        <v>0.04</v>
      </c>
      <c r="I364" s="73">
        <f>IF(Kredyt1[[#This Row],[Data]]="","",Kredyt1[[#This Row],[Cała rata]]-Kredyt1[[#This Row],[Kapitał]])</f>
        <v>15.457326716578791</v>
      </c>
      <c r="J364" s="74" cm="1">
        <f t="array" ref="J364">IFERROR(-PPMT(Kredyt1[[#This Row],[Oprocentowanie]]/12,Kredyt1[[#This Row],[Miesiąc kredytu]],IlośćRat,KwotaKredytu),"")</f>
        <v>1540.591660228733</v>
      </c>
      <c r="K364" s="75" cm="1">
        <f t="array" ref="K364">IF(Kredyt1[[#This Row],[Miesiąc kredytu]]="","",-PMT(Kredyt1[[#This Row],[Oprocentowanie]]/12,IlośćRat,KwotaKredytu))</f>
        <v>1556.0489869453118</v>
      </c>
      <c r="L364" s="75">
        <v>0</v>
      </c>
      <c r="M364" s="76">
        <f>IFERROR(M363-J364-Kredyt1[[#This Row],[Nadpłata]],"")</f>
        <v>3096.6063547448998</v>
      </c>
    </row>
    <row r="365" spans="4:13">
      <c r="D365" s="70" cm="1">
        <f t="array" ref="D365">IF(ROW(360:360)&lt;=IlośćRat,ROW(360:360),"")</f>
        <v>360</v>
      </c>
      <c r="E365" s="70">
        <f>IFERROR(ROUNDUP(Kredyt1[[#This Row],[Miesiąc kredytu]]/12,0),"")</f>
        <v>30</v>
      </c>
      <c r="F365" s="71">
        <f t="shared" si="5"/>
        <v>55032</v>
      </c>
      <c r="G365" s="72" cm="1">
        <f t="array" ref="G365">IF(Kredyt1[[#This Row],[Data]]="","",WIBOR3M)</f>
        <v>0.02</v>
      </c>
      <c r="H365" s="72" cm="1">
        <f t="array" ref="H365">IF(Kredyt1[[#This Row],[Data]]="","",G365+MarżaBAnku)</f>
        <v>0.04</v>
      </c>
      <c r="I365" s="73">
        <f>IF(Kredyt1[[#This Row],[Data]]="","",Kredyt1[[#This Row],[Cała rata]]-Kredyt1[[#This Row],[Kapitał]])</f>
        <v>10.322021182482786</v>
      </c>
      <c r="J365" s="74" cm="1">
        <f t="array" ref="J365">IFERROR(-PPMT(Kredyt1[[#This Row],[Oprocentowanie]]/12,Kredyt1[[#This Row],[Miesiąc kredytu]],IlośćRat,KwotaKredytu),"")</f>
        <v>1545.726965762829</v>
      </c>
      <c r="K365" s="75" cm="1">
        <f t="array" ref="K365">IF(Kredyt1[[#This Row],[Miesiąc kredytu]]="","",-PMT(Kredyt1[[#This Row],[Oprocentowanie]]/12,IlośćRat,KwotaKredytu))</f>
        <v>1556.0489869453118</v>
      </c>
      <c r="L365" s="75">
        <v>0</v>
      </c>
      <c r="M365" s="76">
        <f>IFERROR(M364-J365-Kredyt1[[#This Row],[Nadpłata]],"")</f>
        <v>1550.8793889820709</v>
      </c>
    </row>
    <row r="366" spans="4:13">
      <c r="D366" s="70" cm="1">
        <f t="array" ref="D366">IF(ROW(361:361)&lt;=IlośćRat,ROW(361:361),"")</f>
        <v>361</v>
      </c>
      <c r="E366" s="70">
        <f>IFERROR(ROUNDUP(Kredyt1[[#This Row],[Miesiąc kredytu]]/12,0),"")</f>
        <v>31</v>
      </c>
      <c r="F366" s="71">
        <f t="shared" si="5"/>
        <v>55062</v>
      </c>
      <c r="G366" s="72" cm="1">
        <f t="array" ref="G366">IF(Kredyt1[[#This Row],[Data]]="","",WIBOR3M)</f>
        <v>0.02</v>
      </c>
      <c r="H366" s="72" cm="1">
        <f t="array" ref="H366">IF(Kredyt1[[#This Row],[Data]]="","",G366+MarżaBAnku)</f>
        <v>0.04</v>
      </c>
      <c r="I366" s="73">
        <f>IF(Kredyt1[[#This Row],[Data]]="","",Kredyt1[[#This Row],[Cała rata]]-Kredyt1[[#This Row],[Kapitał]])</f>
        <v>5.1695979632734179</v>
      </c>
      <c r="J366" s="74" cm="1">
        <f t="array" ref="J366">IFERROR(-PPMT(Kredyt1[[#This Row],[Oprocentowanie]]/12,Kredyt1[[#This Row],[Miesiąc kredytu]],IlośćRat,KwotaKredytu),"")</f>
        <v>1550.8793889820383</v>
      </c>
      <c r="K366" s="75" cm="1">
        <f t="array" ref="K366">IF(Kredyt1[[#This Row],[Miesiąc kredytu]]="","",-PMT(Kredyt1[[#This Row],[Oprocentowanie]]/12,IlośćRat,KwotaKredytu))</f>
        <v>1556.0489869453118</v>
      </c>
      <c r="L366" s="75">
        <v>0</v>
      </c>
      <c r="M366" s="76">
        <f>IFERROR(M365-J366-Kredyt1[[#This Row],[Nadpłata]],"")</f>
        <v>3.2514435588382185E-11</v>
      </c>
    </row>
    <row r="367" spans="4:13">
      <c r="D367" s="70" t="str" cm="1">
        <f t="array" ref="D367">IF(ROW(362:362)&lt;=IlośćRat,ROW(362:362),"")</f>
        <v/>
      </c>
      <c r="E367" s="70" t="str">
        <f>IFERROR(ROUNDUP(Kredyt1[[#This Row],[Miesiąc kredytu]]/12,0),"")</f>
        <v/>
      </c>
      <c r="F367" s="71" t="str">
        <f t="shared" si="5"/>
        <v/>
      </c>
      <c r="G367" s="72" t="str" cm="1">
        <f t="array" ref="G367">IF(Kredyt1[[#This Row],[Data]]="","",WIBOR3M)</f>
        <v/>
      </c>
      <c r="H367" s="72" t="str" cm="1">
        <f t="array" ref="H367">IF(Kredyt1[[#This Row],[Data]]="","",G367+MarżaBAnku)</f>
        <v/>
      </c>
      <c r="I367" s="73" t="str">
        <f>IF(Kredyt1[[#This Row],[Data]]="","",Kredyt1[[#This Row],[Cała rata]]-Kredyt1[[#This Row],[Kapitał]])</f>
        <v/>
      </c>
      <c r="J367" s="74" t="str" cm="1">
        <f t="array" ref="J367">IFERROR(-PPMT(Kredyt1[[#This Row],[Oprocentowanie]]/12,Kredyt1[[#This Row],[Miesiąc kredytu]],IlośćRat,KwotaKredytu),"")</f>
        <v/>
      </c>
      <c r="K367" s="75" t="str" cm="1">
        <f t="array" ref="K367">IF(Kredyt1[[#This Row],[Miesiąc kredytu]]="","",-PMT(Kredyt1[[#This Row],[Oprocentowanie]]/12,IlośćRat,KwotaKredytu))</f>
        <v/>
      </c>
      <c r="L367" s="75">
        <v>0</v>
      </c>
      <c r="M367" s="76" t="str">
        <f>IFERROR(M366-J367-Kredyt1[[#This Row],[Nadpłata]],"")</f>
        <v/>
      </c>
    </row>
    <row r="368" spans="4:13">
      <c r="D368" s="70" t="str" cm="1">
        <f t="array" ref="D368">IF(ROW(363:363)&lt;=IlośćRat,ROW(363:363),"")</f>
        <v/>
      </c>
      <c r="E368" s="70" t="str">
        <f>IFERROR(ROUNDUP(Kredyt1[[#This Row],[Miesiąc kredytu]]/12,0),"")</f>
        <v/>
      </c>
      <c r="F368" s="71" t="str">
        <f t="shared" si="5"/>
        <v/>
      </c>
      <c r="G368" s="72" t="str" cm="1">
        <f t="array" ref="G368">IF(Kredyt1[[#This Row],[Data]]="","",WIBOR3M)</f>
        <v/>
      </c>
      <c r="H368" s="72" t="str" cm="1">
        <f t="array" ref="H368">IF(Kredyt1[[#This Row],[Data]]="","",G368+MarżaBAnku)</f>
        <v/>
      </c>
      <c r="I368" s="73" t="str">
        <f>IF(Kredyt1[[#This Row],[Data]]="","",Kredyt1[[#This Row],[Cała rata]]-Kredyt1[[#This Row],[Kapitał]])</f>
        <v/>
      </c>
      <c r="J368" s="74" t="str" cm="1">
        <f t="array" ref="J368">IFERROR(-PPMT(Kredyt1[[#This Row],[Oprocentowanie]]/12,Kredyt1[[#This Row],[Miesiąc kredytu]],IlośćRat,KwotaKredytu),"")</f>
        <v/>
      </c>
      <c r="K368" s="75" t="str" cm="1">
        <f t="array" ref="K368">IF(Kredyt1[[#This Row],[Miesiąc kredytu]]="","",-PMT(Kredyt1[[#This Row],[Oprocentowanie]]/12,IlośćRat,KwotaKredytu))</f>
        <v/>
      </c>
      <c r="L368" s="75">
        <v>0</v>
      </c>
      <c r="M368" s="76" t="str">
        <f>IFERROR(M367-J368-Kredyt1[[#This Row],[Nadpłata]],"")</f>
        <v/>
      </c>
    </row>
    <row r="369" spans="4:13">
      <c r="D369" s="70" t="str" cm="1">
        <f t="array" ref="D369">IF(ROW(364:364)&lt;=IlośćRat,ROW(364:364),"")</f>
        <v/>
      </c>
      <c r="E369" s="70" t="str">
        <f>IFERROR(ROUNDUP(Kredyt1[[#This Row],[Miesiąc kredytu]]/12,0),"")</f>
        <v/>
      </c>
      <c r="F369" s="71" t="str">
        <f t="shared" si="5"/>
        <v/>
      </c>
      <c r="G369" s="72" t="str" cm="1">
        <f t="array" ref="G369">IF(Kredyt1[[#This Row],[Data]]="","",WIBOR3M)</f>
        <v/>
      </c>
      <c r="H369" s="72" t="str" cm="1">
        <f t="array" ref="H369">IF(Kredyt1[[#This Row],[Data]]="","",G369+MarżaBAnku)</f>
        <v/>
      </c>
      <c r="I369" s="73" t="str">
        <f>IF(Kredyt1[[#This Row],[Data]]="","",Kredyt1[[#This Row],[Cała rata]]-Kredyt1[[#This Row],[Kapitał]])</f>
        <v/>
      </c>
      <c r="J369" s="74" t="str" cm="1">
        <f t="array" ref="J369">IFERROR(-PPMT(Kredyt1[[#This Row],[Oprocentowanie]]/12,Kredyt1[[#This Row],[Miesiąc kredytu]],IlośćRat,KwotaKredytu),"")</f>
        <v/>
      </c>
      <c r="K369" s="75" t="str" cm="1">
        <f t="array" ref="K369">IF(Kredyt1[[#This Row],[Miesiąc kredytu]]="","",-PMT(Kredyt1[[#This Row],[Oprocentowanie]]/12,IlośćRat,KwotaKredytu))</f>
        <v/>
      </c>
      <c r="L369" s="75">
        <v>0</v>
      </c>
      <c r="M369" s="76" t="str">
        <f>IFERROR(M368-J369-Kredyt1[[#This Row],[Nadpłata]],"")</f>
        <v/>
      </c>
    </row>
    <row r="370" spans="4:13">
      <c r="D370" s="70" t="str" cm="1">
        <f t="array" ref="D370">IF(ROW(365:365)&lt;=IlośćRat,ROW(365:365),"")</f>
        <v/>
      </c>
      <c r="E370" s="70" t="str">
        <f>IFERROR(ROUNDUP(Kredyt1[[#This Row],[Miesiąc kredytu]]/12,0),"")</f>
        <v/>
      </c>
      <c r="F370" s="71" t="str">
        <f t="shared" si="5"/>
        <v/>
      </c>
      <c r="G370" s="72" t="str" cm="1">
        <f t="array" ref="G370">IF(Kredyt1[[#This Row],[Data]]="","",WIBOR3M)</f>
        <v/>
      </c>
      <c r="H370" s="72" t="str" cm="1">
        <f t="array" ref="H370">IF(Kredyt1[[#This Row],[Data]]="","",G370+MarżaBAnku)</f>
        <v/>
      </c>
      <c r="I370" s="73" t="str">
        <f>IF(Kredyt1[[#This Row],[Data]]="","",Kredyt1[[#This Row],[Cała rata]]-Kredyt1[[#This Row],[Kapitał]])</f>
        <v/>
      </c>
      <c r="J370" s="74" t="str" cm="1">
        <f t="array" ref="J370">IFERROR(-PPMT(Kredyt1[[#This Row],[Oprocentowanie]]/12,Kredyt1[[#This Row],[Miesiąc kredytu]],IlośćRat,KwotaKredytu),"")</f>
        <v/>
      </c>
      <c r="K370" s="75" t="str" cm="1">
        <f t="array" ref="K370">IF(Kredyt1[[#This Row],[Miesiąc kredytu]]="","",-PMT(Kredyt1[[#This Row],[Oprocentowanie]]/12,IlośćRat,KwotaKredytu))</f>
        <v/>
      </c>
      <c r="L370" s="75">
        <v>0</v>
      </c>
      <c r="M370" s="76" t="str">
        <f>IFERROR(M369-J370-Kredyt1[[#This Row],[Nadpłata]],"")</f>
        <v/>
      </c>
    </row>
    <row r="371" spans="4:13">
      <c r="D371" s="70" t="str" cm="1">
        <f t="array" ref="D371">IF(ROW(366:366)&lt;=IlośćRat,ROW(366:366),"")</f>
        <v/>
      </c>
      <c r="E371" s="70" t="str">
        <f>IFERROR(ROUNDUP(Kredyt1[[#This Row],[Miesiąc kredytu]]/12,0),"")</f>
        <v/>
      </c>
      <c r="F371" s="71" t="str">
        <f t="shared" si="5"/>
        <v/>
      </c>
      <c r="G371" s="72" t="str" cm="1">
        <f t="array" ref="G371">IF(Kredyt1[[#This Row],[Data]]="","",WIBOR3M)</f>
        <v/>
      </c>
      <c r="H371" s="72" t="str" cm="1">
        <f t="array" ref="H371">IF(Kredyt1[[#This Row],[Data]]="","",G371+MarżaBAnku)</f>
        <v/>
      </c>
      <c r="I371" s="73" t="str">
        <f>IF(Kredyt1[[#This Row],[Data]]="","",Kredyt1[[#This Row],[Cała rata]]-Kredyt1[[#This Row],[Kapitał]])</f>
        <v/>
      </c>
      <c r="J371" s="74" t="str" cm="1">
        <f t="array" ref="J371">IFERROR(-PPMT(Kredyt1[[#This Row],[Oprocentowanie]]/12,Kredyt1[[#This Row],[Miesiąc kredytu]],IlośćRat,KwotaKredytu),"")</f>
        <v/>
      </c>
      <c r="K371" s="75" t="str" cm="1">
        <f t="array" ref="K371">IF(Kredyt1[[#This Row],[Miesiąc kredytu]]="","",-PMT(Kredyt1[[#This Row],[Oprocentowanie]]/12,IlośćRat,KwotaKredytu))</f>
        <v/>
      </c>
      <c r="L371" s="75">
        <v>0</v>
      </c>
      <c r="M371" s="76" t="str">
        <f>IFERROR(M370-J371-Kredyt1[[#This Row],[Nadpłata]],"")</f>
        <v/>
      </c>
    </row>
    <row r="372" spans="4:13">
      <c r="D372" s="70" t="str" cm="1">
        <f t="array" ref="D372">IF(ROW(367:367)&lt;=IlośćRat,ROW(367:367),"")</f>
        <v/>
      </c>
      <c r="E372" s="70" t="str">
        <f>IFERROR(ROUNDUP(Kredyt1[[#This Row],[Miesiąc kredytu]]/12,0),"")</f>
        <v/>
      </c>
      <c r="F372" s="71" t="str">
        <f t="shared" si="5"/>
        <v/>
      </c>
      <c r="G372" s="72" t="str" cm="1">
        <f t="array" ref="G372">IF(Kredyt1[[#This Row],[Data]]="","",WIBOR3M)</f>
        <v/>
      </c>
      <c r="H372" s="72" t="str" cm="1">
        <f t="array" ref="H372">IF(Kredyt1[[#This Row],[Data]]="","",G372+MarżaBAnku)</f>
        <v/>
      </c>
      <c r="I372" s="73" t="str">
        <f>IF(Kredyt1[[#This Row],[Data]]="","",Kredyt1[[#This Row],[Cała rata]]-Kredyt1[[#This Row],[Kapitał]])</f>
        <v/>
      </c>
      <c r="J372" s="74" t="str" cm="1">
        <f t="array" ref="J372">IFERROR(-PPMT(Kredyt1[[#This Row],[Oprocentowanie]]/12,Kredyt1[[#This Row],[Miesiąc kredytu]],IlośćRat,KwotaKredytu),"")</f>
        <v/>
      </c>
      <c r="K372" s="75" t="str" cm="1">
        <f t="array" ref="K372">IF(Kredyt1[[#This Row],[Miesiąc kredytu]]="","",-PMT(Kredyt1[[#This Row],[Oprocentowanie]]/12,IlośćRat,KwotaKredytu))</f>
        <v/>
      </c>
      <c r="L372" s="75">
        <v>0</v>
      </c>
      <c r="M372" s="76" t="str">
        <f>IFERROR(M371-J372-Kredyt1[[#This Row],[Nadpłata]],"")</f>
        <v/>
      </c>
    </row>
    <row r="373" spans="4:13">
      <c r="D373" s="70" t="str" cm="1">
        <f t="array" ref="D373">IF(ROW(368:368)&lt;=IlośćRat,ROW(368:368),"")</f>
        <v/>
      </c>
      <c r="E373" s="70" t="str">
        <f>IFERROR(ROUNDUP(Kredyt1[[#This Row],[Miesiąc kredytu]]/12,0),"")</f>
        <v/>
      </c>
      <c r="F373" s="71" t="str">
        <f t="shared" si="5"/>
        <v/>
      </c>
      <c r="G373" s="72" t="str" cm="1">
        <f t="array" ref="G373">IF(Kredyt1[[#This Row],[Data]]="","",WIBOR3M)</f>
        <v/>
      </c>
      <c r="H373" s="72" t="str" cm="1">
        <f t="array" ref="H373">IF(Kredyt1[[#This Row],[Data]]="","",G373+MarżaBAnku)</f>
        <v/>
      </c>
      <c r="I373" s="73" t="str">
        <f>IF(Kredyt1[[#This Row],[Data]]="","",Kredyt1[[#This Row],[Cała rata]]-Kredyt1[[#This Row],[Kapitał]])</f>
        <v/>
      </c>
      <c r="J373" s="74" t="str" cm="1">
        <f t="array" ref="J373">IFERROR(-PPMT(Kredyt1[[#This Row],[Oprocentowanie]]/12,Kredyt1[[#This Row],[Miesiąc kredytu]],IlośćRat,KwotaKredytu),"")</f>
        <v/>
      </c>
      <c r="K373" s="75" t="str" cm="1">
        <f t="array" ref="K373">IF(Kredyt1[[#This Row],[Miesiąc kredytu]]="","",-PMT(Kredyt1[[#This Row],[Oprocentowanie]]/12,IlośćRat,KwotaKredytu))</f>
        <v/>
      </c>
      <c r="L373" s="75">
        <v>0</v>
      </c>
      <c r="M373" s="76" t="str">
        <f>IFERROR(M372-J373-Kredyt1[[#This Row],[Nadpłata]],"")</f>
        <v/>
      </c>
    </row>
    <row r="374" spans="4:13">
      <c r="D374" s="70" t="str" cm="1">
        <f t="array" ref="D374">IF(ROW(369:369)&lt;=IlośćRat,ROW(369:369),"")</f>
        <v/>
      </c>
      <c r="E374" s="70" t="str">
        <f>IFERROR(ROUNDUP(Kredyt1[[#This Row],[Miesiąc kredytu]]/12,0),"")</f>
        <v/>
      </c>
      <c r="F374" s="71" t="str">
        <f t="shared" si="5"/>
        <v/>
      </c>
      <c r="G374" s="72" t="str" cm="1">
        <f t="array" ref="G374">IF(Kredyt1[[#This Row],[Data]]="","",WIBOR3M)</f>
        <v/>
      </c>
      <c r="H374" s="72" t="str" cm="1">
        <f t="array" ref="H374">IF(Kredyt1[[#This Row],[Data]]="","",G374+MarżaBAnku)</f>
        <v/>
      </c>
      <c r="I374" s="73" t="str">
        <f>IF(Kredyt1[[#This Row],[Data]]="","",Kredyt1[[#This Row],[Cała rata]]-Kredyt1[[#This Row],[Kapitał]])</f>
        <v/>
      </c>
      <c r="J374" s="74" t="str" cm="1">
        <f t="array" ref="J374">IFERROR(-PPMT(Kredyt1[[#This Row],[Oprocentowanie]]/12,Kredyt1[[#This Row],[Miesiąc kredytu]],IlośćRat,KwotaKredytu),"")</f>
        <v/>
      </c>
      <c r="K374" s="75" t="str" cm="1">
        <f t="array" ref="K374">IF(Kredyt1[[#This Row],[Miesiąc kredytu]]="","",-PMT(Kredyt1[[#This Row],[Oprocentowanie]]/12,IlośćRat,KwotaKredytu))</f>
        <v/>
      </c>
      <c r="L374" s="75">
        <v>0</v>
      </c>
      <c r="M374" s="76" t="str">
        <f>IFERROR(M373-J374-Kredyt1[[#This Row],[Nadpłata]],"")</f>
        <v/>
      </c>
    </row>
    <row r="375" spans="4:13">
      <c r="D375" s="70" t="str" cm="1">
        <f t="array" ref="D375">IF(ROW(370:370)&lt;=IlośćRat,ROW(370:370),"")</f>
        <v/>
      </c>
      <c r="E375" s="70" t="str">
        <f>IFERROR(ROUNDUP(Kredyt1[[#This Row],[Miesiąc kredytu]]/12,0),"")</f>
        <v/>
      </c>
      <c r="F375" s="71" t="str">
        <f t="shared" si="5"/>
        <v/>
      </c>
      <c r="G375" s="72" t="str" cm="1">
        <f t="array" ref="G375">IF(Kredyt1[[#This Row],[Data]]="","",WIBOR3M)</f>
        <v/>
      </c>
      <c r="H375" s="72" t="str" cm="1">
        <f t="array" ref="H375">IF(Kredyt1[[#This Row],[Data]]="","",G375+MarżaBAnku)</f>
        <v/>
      </c>
      <c r="I375" s="73" t="str">
        <f>IF(Kredyt1[[#This Row],[Data]]="","",Kredyt1[[#This Row],[Cała rata]]-Kredyt1[[#This Row],[Kapitał]])</f>
        <v/>
      </c>
      <c r="J375" s="74" t="str" cm="1">
        <f t="array" ref="J375">IFERROR(-PPMT(Kredyt1[[#This Row],[Oprocentowanie]]/12,Kredyt1[[#This Row],[Miesiąc kredytu]],IlośćRat,KwotaKredytu),"")</f>
        <v/>
      </c>
      <c r="K375" s="75" t="str" cm="1">
        <f t="array" ref="K375">IF(Kredyt1[[#This Row],[Miesiąc kredytu]]="","",-PMT(Kredyt1[[#This Row],[Oprocentowanie]]/12,IlośćRat,KwotaKredytu))</f>
        <v/>
      </c>
      <c r="L375" s="75">
        <v>0</v>
      </c>
      <c r="M375" s="76" t="str">
        <f>IFERROR(M374-J375-Kredyt1[[#This Row],[Nadpłata]],"")</f>
        <v/>
      </c>
    </row>
    <row r="376" spans="4:13">
      <c r="D376" s="70" t="str" cm="1">
        <f t="array" ref="D376">IF(ROW(371:371)&lt;=IlośćRat,ROW(371:371),"")</f>
        <v/>
      </c>
      <c r="E376" s="70" t="str">
        <f>IFERROR(ROUNDUP(Kredyt1[[#This Row],[Miesiąc kredytu]]/12,0),"")</f>
        <v/>
      </c>
      <c r="F376" s="71" t="str">
        <f t="shared" si="5"/>
        <v/>
      </c>
      <c r="G376" s="72" t="str" cm="1">
        <f t="array" ref="G376">IF(Kredyt1[[#This Row],[Data]]="","",WIBOR3M)</f>
        <v/>
      </c>
      <c r="H376" s="72" t="str" cm="1">
        <f t="array" ref="H376">IF(Kredyt1[[#This Row],[Data]]="","",G376+MarżaBAnku)</f>
        <v/>
      </c>
      <c r="I376" s="73" t="str">
        <f>IF(Kredyt1[[#This Row],[Data]]="","",Kredyt1[[#This Row],[Cała rata]]-Kredyt1[[#This Row],[Kapitał]])</f>
        <v/>
      </c>
      <c r="J376" s="74" t="str" cm="1">
        <f t="array" ref="J376">IFERROR(-PPMT(Kredyt1[[#This Row],[Oprocentowanie]]/12,Kredyt1[[#This Row],[Miesiąc kredytu]],IlośćRat,KwotaKredytu),"")</f>
        <v/>
      </c>
      <c r="K376" s="75" t="str" cm="1">
        <f t="array" ref="K376">IF(Kredyt1[[#This Row],[Miesiąc kredytu]]="","",-PMT(Kredyt1[[#This Row],[Oprocentowanie]]/12,IlośćRat,KwotaKredytu))</f>
        <v/>
      </c>
      <c r="L376" s="75">
        <v>0</v>
      </c>
      <c r="M376" s="76" t="str">
        <f>IFERROR(M375-J376-Kredyt1[[#This Row],[Nadpłata]],"")</f>
        <v/>
      </c>
    </row>
    <row r="377" spans="4:13">
      <c r="D377" s="70" t="str" cm="1">
        <f t="array" ref="D377">IF(ROW(372:372)&lt;=IlośćRat,ROW(372:372),"")</f>
        <v/>
      </c>
      <c r="E377" s="70" t="str">
        <f>IFERROR(ROUNDUP(Kredyt1[[#This Row],[Miesiąc kredytu]]/12,0),"")</f>
        <v/>
      </c>
      <c r="F377" s="71" t="str">
        <f t="shared" si="5"/>
        <v/>
      </c>
      <c r="G377" s="72" t="str" cm="1">
        <f t="array" ref="G377">IF(Kredyt1[[#This Row],[Data]]="","",WIBOR3M)</f>
        <v/>
      </c>
      <c r="H377" s="72" t="str" cm="1">
        <f t="array" ref="H377">IF(Kredyt1[[#This Row],[Data]]="","",G377+MarżaBAnku)</f>
        <v/>
      </c>
      <c r="I377" s="73" t="str">
        <f>IF(Kredyt1[[#This Row],[Data]]="","",Kredyt1[[#This Row],[Cała rata]]-Kredyt1[[#This Row],[Kapitał]])</f>
        <v/>
      </c>
      <c r="J377" s="74" t="str" cm="1">
        <f t="array" ref="J377">IFERROR(-PPMT(Kredyt1[[#This Row],[Oprocentowanie]]/12,Kredyt1[[#This Row],[Miesiąc kredytu]],IlośćRat,KwotaKredytu),"")</f>
        <v/>
      </c>
      <c r="K377" s="75" t="str" cm="1">
        <f t="array" ref="K377">IF(Kredyt1[[#This Row],[Miesiąc kredytu]]="","",-PMT(Kredyt1[[#This Row],[Oprocentowanie]]/12,IlośćRat,KwotaKredytu))</f>
        <v/>
      </c>
      <c r="L377" s="75">
        <v>0</v>
      </c>
      <c r="M377" s="76" t="str">
        <f>IFERROR(M376-J377-Kredyt1[[#This Row],[Nadpłata]],"")</f>
        <v/>
      </c>
    </row>
    <row r="378" spans="4:13">
      <c r="D378" s="70" t="str" cm="1">
        <f t="array" ref="D378">IF(ROW(373:373)&lt;=IlośćRat,ROW(373:373),"")</f>
        <v/>
      </c>
      <c r="E378" s="70" t="str">
        <f>IFERROR(ROUNDUP(Kredyt1[[#This Row],[Miesiąc kredytu]]/12,0),"")</f>
        <v/>
      </c>
      <c r="F378" s="71" t="str">
        <f t="shared" si="5"/>
        <v/>
      </c>
      <c r="G378" s="72" t="str" cm="1">
        <f t="array" ref="G378">IF(Kredyt1[[#This Row],[Data]]="","",WIBOR3M)</f>
        <v/>
      </c>
      <c r="H378" s="72" t="str" cm="1">
        <f t="array" ref="H378">IF(Kredyt1[[#This Row],[Data]]="","",G378+MarżaBAnku)</f>
        <v/>
      </c>
      <c r="I378" s="73" t="str">
        <f>IF(Kredyt1[[#This Row],[Data]]="","",Kredyt1[[#This Row],[Cała rata]]-Kredyt1[[#This Row],[Kapitał]])</f>
        <v/>
      </c>
      <c r="J378" s="74" t="str" cm="1">
        <f t="array" ref="J378">IFERROR(-PPMT(Kredyt1[[#This Row],[Oprocentowanie]]/12,Kredyt1[[#This Row],[Miesiąc kredytu]],IlośćRat,KwotaKredytu),"")</f>
        <v/>
      </c>
      <c r="K378" s="75" t="str" cm="1">
        <f t="array" ref="K378">IF(Kredyt1[[#This Row],[Miesiąc kredytu]]="","",-PMT(Kredyt1[[#This Row],[Oprocentowanie]]/12,IlośćRat,KwotaKredytu))</f>
        <v/>
      </c>
      <c r="L378" s="75">
        <v>0</v>
      </c>
      <c r="M378" s="76" t="str">
        <f>IFERROR(M377-J378-Kredyt1[[#This Row],[Nadpłata]],"")</f>
        <v/>
      </c>
    </row>
    <row r="379" spans="4:13">
      <c r="D379" s="70" t="str" cm="1">
        <f t="array" ref="D379">IF(ROW(374:374)&lt;=IlośćRat,ROW(374:374),"")</f>
        <v/>
      </c>
      <c r="E379" s="70" t="str">
        <f>IFERROR(ROUNDUP(Kredyt1[[#This Row],[Miesiąc kredytu]]/12,0),"")</f>
        <v/>
      </c>
      <c r="F379" s="71" t="str">
        <f t="shared" si="5"/>
        <v/>
      </c>
      <c r="G379" s="72" t="str" cm="1">
        <f t="array" ref="G379">IF(Kredyt1[[#This Row],[Data]]="","",WIBOR3M)</f>
        <v/>
      </c>
      <c r="H379" s="72" t="str" cm="1">
        <f t="array" ref="H379">IF(Kredyt1[[#This Row],[Data]]="","",G379+MarżaBAnku)</f>
        <v/>
      </c>
      <c r="I379" s="73" t="str">
        <f>IF(Kredyt1[[#This Row],[Data]]="","",Kredyt1[[#This Row],[Cała rata]]-Kredyt1[[#This Row],[Kapitał]])</f>
        <v/>
      </c>
      <c r="J379" s="74" t="str" cm="1">
        <f t="array" ref="J379">IFERROR(-PPMT(Kredyt1[[#This Row],[Oprocentowanie]]/12,Kredyt1[[#This Row],[Miesiąc kredytu]],IlośćRat,KwotaKredytu),"")</f>
        <v/>
      </c>
      <c r="K379" s="75" t="str" cm="1">
        <f t="array" ref="K379">IF(Kredyt1[[#This Row],[Miesiąc kredytu]]="","",-PMT(Kredyt1[[#This Row],[Oprocentowanie]]/12,IlośćRat,KwotaKredytu))</f>
        <v/>
      </c>
      <c r="L379" s="75">
        <v>0</v>
      </c>
      <c r="M379" s="76" t="str">
        <f>IFERROR(M378-J379-Kredyt1[[#This Row],[Nadpłata]],"")</f>
        <v/>
      </c>
    </row>
    <row r="380" spans="4:13">
      <c r="D380" s="70" t="str" cm="1">
        <f t="array" ref="D380">IF(ROW(375:375)&lt;=IlośćRat,ROW(375:375),"")</f>
        <v/>
      </c>
      <c r="E380" s="70" t="str">
        <f>IFERROR(ROUNDUP(Kredyt1[[#This Row],[Miesiąc kredytu]]/12,0),"")</f>
        <v/>
      </c>
      <c r="F380" s="71" t="str">
        <f t="shared" si="5"/>
        <v/>
      </c>
      <c r="G380" s="72" t="str" cm="1">
        <f t="array" ref="G380">IF(Kredyt1[[#This Row],[Data]]="","",WIBOR3M)</f>
        <v/>
      </c>
      <c r="H380" s="72" t="str" cm="1">
        <f t="array" ref="H380">IF(Kredyt1[[#This Row],[Data]]="","",G380+MarżaBAnku)</f>
        <v/>
      </c>
      <c r="I380" s="73" t="str">
        <f>IF(Kredyt1[[#This Row],[Data]]="","",Kredyt1[[#This Row],[Cała rata]]-Kredyt1[[#This Row],[Kapitał]])</f>
        <v/>
      </c>
      <c r="J380" s="74" t="str" cm="1">
        <f t="array" ref="J380">IFERROR(-PPMT(Kredyt1[[#This Row],[Oprocentowanie]]/12,Kredyt1[[#This Row],[Miesiąc kredytu]],IlośćRat,KwotaKredytu),"")</f>
        <v/>
      </c>
      <c r="K380" s="75" t="str" cm="1">
        <f t="array" ref="K380">IF(Kredyt1[[#This Row],[Miesiąc kredytu]]="","",-PMT(Kredyt1[[#This Row],[Oprocentowanie]]/12,IlośćRat,KwotaKredytu))</f>
        <v/>
      </c>
      <c r="L380" s="75">
        <v>0</v>
      </c>
      <c r="M380" s="76" t="str">
        <f>IFERROR(M379-J380-Kredyt1[[#This Row],[Nadpłata]],"")</f>
        <v/>
      </c>
    </row>
    <row r="381" spans="4:13">
      <c r="D381" s="70" t="str" cm="1">
        <f t="array" ref="D381">IF(ROW(376:376)&lt;=IlośćRat,ROW(376:376),"")</f>
        <v/>
      </c>
      <c r="E381" s="70" t="str">
        <f>IFERROR(ROUNDUP(Kredyt1[[#This Row],[Miesiąc kredytu]]/12,0),"")</f>
        <v/>
      </c>
      <c r="F381" s="71" t="str">
        <f t="shared" si="5"/>
        <v/>
      </c>
      <c r="G381" s="72" t="str" cm="1">
        <f t="array" ref="G381">IF(Kredyt1[[#This Row],[Data]]="","",WIBOR3M)</f>
        <v/>
      </c>
      <c r="H381" s="72" t="str" cm="1">
        <f t="array" ref="H381">IF(Kredyt1[[#This Row],[Data]]="","",G381+MarżaBAnku)</f>
        <v/>
      </c>
      <c r="I381" s="73" t="str">
        <f>IF(Kredyt1[[#This Row],[Data]]="","",Kredyt1[[#This Row],[Cała rata]]-Kredyt1[[#This Row],[Kapitał]])</f>
        <v/>
      </c>
      <c r="J381" s="74" t="str" cm="1">
        <f t="array" ref="J381">IFERROR(-PPMT(Kredyt1[[#This Row],[Oprocentowanie]]/12,Kredyt1[[#This Row],[Miesiąc kredytu]],IlośćRat,KwotaKredytu),"")</f>
        <v/>
      </c>
      <c r="K381" s="75" t="str" cm="1">
        <f t="array" ref="K381">IF(Kredyt1[[#This Row],[Miesiąc kredytu]]="","",-PMT(Kredyt1[[#This Row],[Oprocentowanie]]/12,IlośćRat,KwotaKredytu))</f>
        <v/>
      </c>
      <c r="L381" s="75">
        <v>0</v>
      </c>
      <c r="M381" s="76" t="str">
        <f>IFERROR(M380-J381-Kredyt1[[#This Row],[Nadpłata]],"")</f>
        <v/>
      </c>
    </row>
    <row r="382" spans="4:13">
      <c r="D382" s="70" t="str" cm="1">
        <f t="array" ref="D382">IF(ROW(377:377)&lt;=IlośćRat,ROW(377:377),"")</f>
        <v/>
      </c>
      <c r="E382" s="70" t="str">
        <f>IFERROR(ROUNDUP(Kredyt1[[#This Row],[Miesiąc kredytu]]/12,0),"")</f>
        <v/>
      </c>
      <c r="F382" s="71" t="str">
        <f t="shared" si="5"/>
        <v/>
      </c>
      <c r="G382" s="72" t="str" cm="1">
        <f t="array" ref="G382">IF(Kredyt1[[#This Row],[Data]]="","",WIBOR3M)</f>
        <v/>
      </c>
      <c r="H382" s="72" t="str" cm="1">
        <f t="array" ref="H382">IF(Kredyt1[[#This Row],[Data]]="","",G382+MarżaBAnku)</f>
        <v/>
      </c>
      <c r="I382" s="73" t="str">
        <f>IF(Kredyt1[[#This Row],[Data]]="","",Kredyt1[[#This Row],[Cała rata]]-Kredyt1[[#This Row],[Kapitał]])</f>
        <v/>
      </c>
      <c r="J382" s="74" t="str" cm="1">
        <f t="array" ref="J382">IFERROR(-PPMT(Kredyt1[[#This Row],[Oprocentowanie]]/12,Kredyt1[[#This Row],[Miesiąc kredytu]],IlośćRat,KwotaKredytu),"")</f>
        <v/>
      </c>
      <c r="K382" s="75" t="str" cm="1">
        <f t="array" ref="K382">IF(Kredyt1[[#This Row],[Miesiąc kredytu]]="","",-PMT(Kredyt1[[#This Row],[Oprocentowanie]]/12,IlośćRat,KwotaKredytu))</f>
        <v/>
      </c>
      <c r="L382" s="75">
        <v>0</v>
      </c>
      <c r="M382" s="76" t="str">
        <f>IFERROR(M381-J382-Kredyt1[[#This Row],[Nadpłata]],"")</f>
        <v/>
      </c>
    </row>
    <row r="383" spans="4:13">
      <c r="D383" s="70" t="str" cm="1">
        <f t="array" ref="D383">IF(ROW(378:378)&lt;=IlośćRat,ROW(378:378),"")</f>
        <v/>
      </c>
      <c r="E383" s="70" t="str">
        <f>IFERROR(ROUNDUP(Kredyt1[[#This Row],[Miesiąc kredytu]]/12,0),"")</f>
        <v/>
      </c>
      <c r="F383" s="71" t="str">
        <f t="shared" si="5"/>
        <v/>
      </c>
      <c r="G383" s="72" t="str" cm="1">
        <f t="array" ref="G383">IF(Kredyt1[[#This Row],[Data]]="","",WIBOR3M)</f>
        <v/>
      </c>
      <c r="H383" s="72" t="str" cm="1">
        <f t="array" ref="H383">IF(Kredyt1[[#This Row],[Data]]="","",G383+MarżaBAnku)</f>
        <v/>
      </c>
      <c r="I383" s="73" t="str">
        <f>IF(Kredyt1[[#This Row],[Data]]="","",Kredyt1[[#This Row],[Cała rata]]-Kredyt1[[#This Row],[Kapitał]])</f>
        <v/>
      </c>
      <c r="J383" s="74" t="str" cm="1">
        <f t="array" ref="J383">IFERROR(-PPMT(Kredyt1[[#This Row],[Oprocentowanie]]/12,Kredyt1[[#This Row],[Miesiąc kredytu]],IlośćRat,KwotaKredytu),"")</f>
        <v/>
      </c>
      <c r="K383" s="75" t="str" cm="1">
        <f t="array" ref="K383">IF(Kredyt1[[#This Row],[Miesiąc kredytu]]="","",-PMT(Kredyt1[[#This Row],[Oprocentowanie]]/12,IlośćRat,KwotaKredytu))</f>
        <v/>
      </c>
      <c r="L383" s="75">
        <v>0</v>
      </c>
      <c r="M383" s="76" t="str">
        <f>IFERROR(M382-J383-Kredyt1[[#This Row],[Nadpłata]],"")</f>
        <v/>
      </c>
    </row>
    <row r="384" spans="4:13">
      <c r="D384" s="70" t="str" cm="1">
        <f t="array" ref="D384">IF(ROW(379:379)&lt;=IlośćRat,ROW(379:379),"")</f>
        <v/>
      </c>
      <c r="E384" s="70" t="str">
        <f>IFERROR(ROUNDUP(Kredyt1[[#This Row],[Miesiąc kredytu]]/12,0),"")</f>
        <v/>
      </c>
      <c r="F384" s="71" t="str">
        <f t="shared" si="5"/>
        <v/>
      </c>
      <c r="G384" s="72" t="str" cm="1">
        <f t="array" ref="G384">IF(Kredyt1[[#This Row],[Data]]="","",WIBOR3M)</f>
        <v/>
      </c>
      <c r="H384" s="72" t="str" cm="1">
        <f t="array" ref="H384">IF(Kredyt1[[#This Row],[Data]]="","",G384+MarżaBAnku)</f>
        <v/>
      </c>
      <c r="I384" s="73" t="str">
        <f>IF(Kredyt1[[#This Row],[Data]]="","",Kredyt1[[#This Row],[Cała rata]]-Kredyt1[[#This Row],[Kapitał]])</f>
        <v/>
      </c>
      <c r="J384" s="74" t="str" cm="1">
        <f t="array" ref="J384">IFERROR(-PPMT(Kredyt1[[#This Row],[Oprocentowanie]]/12,Kredyt1[[#This Row],[Miesiąc kredytu]],IlośćRat,KwotaKredytu),"")</f>
        <v/>
      </c>
      <c r="K384" s="75" t="str" cm="1">
        <f t="array" ref="K384">IF(Kredyt1[[#This Row],[Miesiąc kredytu]]="","",-PMT(Kredyt1[[#This Row],[Oprocentowanie]]/12,IlośćRat,KwotaKredytu))</f>
        <v/>
      </c>
      <c r="L384" s="75">
        <v>0</v>
      </c>
      <c r="M384" s="76" t="str">
        <f>IFERROR(M383-J384-Kredyt1[[#This Row],[Nadpłata]],"")</f>
        <v/>
      </c>
    </row>
    <row r="385" spans="4:13">
      <c r="D385" s="70" t="str" cm="1">
        <f t="array" ref="D385">IF(ROW(380:380)&lt;=IlośćRat,ROW(380:380),"")</f>
        <v/>
      </c>
      <c r="E385" s="70" t="str">
        <f>IFERROR(ROUNDUP(Kredyt1[[#This Row],[Miesiąc kredytu]]/12,0),"")</f>
        <v/>
      </c>
      <c r="F385" s="71" t="str">
        <f t="shared" si="5"/>
        <v/>
      </c>
      <c r="G385" s="72" t="str" cm="1">
        <f t="array" ref="G385">IF(Kredyt1[[#This Row],[Data]]="","",WIBOR3M)</f>
        <v/>
      </c>
      <c r="H385" s="72" t="str" cm="1">
        <f t="array" ref="H385">IF(Kredyt1[[#This Row],[Data]]="","",G385+MarżaBAnku)</f>
        <v/>
      </c>
      <c r="I385" s="73" t="str">
        <f>IF(Kredyt1[[#This Row],[Data]]="","",Kredyt1[[#This Row],[Cała rata]]-Kredyt1[[#This Row],[Kapitał]])</f>
        <v/>
      </c>
      <c r="J385" s="74" t="str" cm="1">
        <f t="array" ref="J385">IFERROR(-PPMT(Kredyt1[[#This Row],[Oprocentowanie]]/12,Kredyt1[[#This Row],[Miesiąc kredytu]],IlośćRat,KwotaKredytu),"")</f>
        <v/>
      </c>
      <c r="K385" s="75" t="str" cm="1">
        <f t="array" ref="K385">IF(Kredyt1[[#This Row],[Miesiąc kredytu]]="","",-PMT(Kredyt1[[#This Row],[Oprocentowanie]]/12,IlośćRat,KwotaKredytu))</f>
        <v/>
      </c>
      <c r="L385" s="75">
        <v>0</v>
      </c>
      <c r="M385" s="76" t="str">
        <f>IFERROR(M384-J385-Kredyt1[[#This Row],[Nadpłata]],"")</f>
        <v/>
      </c>
    </row>
    <row r="386" spans="4:13">
      <c r="D386" s="70" t="str" cm="1">
        <f t="array" ref="D386">IF(ROW(381:381)&lt;=IlośćRat,ROW(381:381),"")</f>
        <v/>
      </c>
      <c r="E386" s="70" t="str">
        <f>IFERROR(ROUNDUP(Kredyt1[[#This Row],[Miesiąc kredytu]]/12,0),"")</f>
        <v/>
      </c>
      <c r="F386" s="71" t="str">
        <f t="shared" si="5"/>
        <v/>
      </c>
      <c r="G386" s="72" t="str" cm="1">
        <f t="array" ref="G386">IF(Kredyt1[[#This Row],[Data]]="","",WIBOR3M)</f>
        <v/>
      </c>
      <c r="H386" s="72" t="str" cm="1">
        <f t="array" ref="H386">IF(Kredyt1[[#This Row],[Data]]="","",G386+MarżaBAnku)</f>
        <v/>
      </c>
      <c r="I386" s="73" t="str">
        <f>IF(Kredyt1[[#This Row],[Data]]="","",Kredyt1[[#This Row],[Cała rata]]-Kredyt1[[#This Row],[Kapitał]])</f>
        <v/>
      </c>
      <c r="J386" s="74" t="str" cm="1">
        <f t="array" ref="J386">IFERROR(-PPMT(Kredyt1[[#This Row],[Oprocentowanie]]/12,Kredyt1[[#This Row],[Miesiąc kredytu]],IlośćRat,KwotaKredytu),"")</f>
        <v/>
      </c>
      <c r="K386" s="75" t="str" cm="1">
        <f t="array" ref="K386">IF(Kredyt1[[#This Row],[Miesiąc kredytu]]="","",-PMT(Kredyt1[[#This Row],[Oprocentowanie]]/12,IlośćRat,KwotaKredytu))</f>
        <v/>
      </c>
      <c r="L386" s="75">
        <v>0</v>
      </c>
      <c r="M386" s="76" t="str">
        <f>IFERROR(M385-J386-Kredyt1[[#This Row],[Nadpłata]],"")</f>
        <v/>
      </c>
    </row>
    <row r="387" spans="4:13">
      <c r="D387" s="70" t="str" cm="1">
        <f t="array" ref="D387">IF(ROW(382:382)&lt;=IlośćRat,ROW(382:382),"")</f>
        <v/>
      </c>
      <c r="E387" s="70" t="str">
        <f>IFERROR(ROUNDUP(Kredyt1[[#This Row],[Miesiąc kredytu]]/12,0),"")</f>
        <v/>
      </c>
      <c r="F387" s="71" t="str">
        <f t="shared" si="5"/>
        <v/>
      </c>
      <c r="G387" s="72" t="str" cm="1">
        <f t="array" ref="G387">IF(Kredyt1[[#This Row],[Data]]="","",WIBOR3M)</f>
        <v/>
      </c>
      <c r="H387" s="72" t="str" cm="1">
        <f t="array" ref="H387">IF(Kredyt1[[#This Row],[Data]]="","",G387+MarżaBAnku)</f>
        <v/>
      </c>
      <c r="I387" s="73" t="str">
        <f>IF(Kredyt1[[#This Row],[Data]]="","",Kredyt1[[#This Row],[Cała rata]]-Kredyt1[[#This Row],[Kapitał]])</f>
        <v/>
      </c>
      <c r="J387" s="74" t="str" cm="1">
        <f t="array" ref="J387">IFERROR(-PPMT(Kredyt1[[#This Row],[Oprocentowanie]]/12,Kredyt1[[#This Row],[Miesiąc kredytu]],IlośćRat,KwotaKredytu),"")</f>
        <v/>
      </c>
      <c r="K387" s="75" t="str" cm="1">
        <f t="array" ref="K387">IF(Kredyt1[[#This Row],[Miesiąc kredytu]]="","",-PMT(Kredyt1[[#This Row],[Oprocentowanie]]/12,IlośćRat,KwotaKredytu))</f>
        <v/>
      </c>
      <c r="L387" s="75">
        <v>0</v>
      </c>
      <c r="M387" s="76" t="str">
        <f>IFERROR(M386-J387-Kredyt1[[#This Row],[Nadpłata]],"")</f>
        <v/>
      </c>
    </row>
    <row r="388" spans="4:13">
      <c r="D388" s="70" t="str" cm="1">
        <f t="array" ref="D388">IF(ROW(383:383)&lt;=IlośćRat,ROW(383:383),"")</f>
        <v/>
      </c>
      <c r="E388" s="70" t="str">
        <f>IFERROR(ROUNDUP(Kredyt1[[#This Row],[Miesiąc kredytu]]/12,0),"")</f>
        <v/>
      </c>
      <c r="F388" s="71" t="str">
        <f t="shared" si="5"/>
        <v/>
      </c>
      <c r="G388" s="72" t="str" cm="1">
        <f t="array" ref="G388">IF(Kredyt1[[#This Row],[Data]]="","",WIBOR3M)</f>
        <v/>
      </c>
      <c r="H388" s="72" t="str" cm="1">
        <f t="array" ref="H388">IF(Kredyt1[[#This Row],[Data]]="","",G388+MarżaBAnku)</f>
        <v/>
      </c>
      <c r="I388" s="73" t="str">
        <f>IF(Kredyt1[[#This Row],[Data]]="","",Kredyt1[[#This Row],[Cała rata]]-Kredyt1[[#This Row],[Kapitał]])</f>
        <v/>
      </c>
      <c r="J388" s="74" t="str" cm="1">
        <f t="array" ref="J388">IFERROR(-PPMT(Kredyt1[[#This Row],[Oprocentowanie]]/12,Kredyt1[[#This Row],[Miesiąc kredytu]],IlośćRat,KwotaKredytu),"")</f>
        <v/>
      </c>
      <c r="K388" s="75" t="str" cm="1">
        <f t="array" ref="K388">IF(Kredyt1[[#This Row],[Miesiąc kredytu]]="","",-PMT(Kredyt1[[#This Row],[Oprocentowanie]]/12,IlośćRat,KwotaKredytu))</f>
        <v/>
      </c>
      <c r="L388" s="75">
        <v>0</v>
      </c>
      <c r="M388" s="76" t="str">
        <f>IFERROR(M387-J388-Kredyt1[[#This Row],[Nadpłata]],"")</f>
        <v/>
      </c>
    </row>
    <row r="389" spans="4:13">
      <c r="D389" s="70" t="str" cm="1">
        <f t="array" ref="D389">IF(ROW(384:384)&lt;=IlośćRat,ROW(384:384),"")</f>
        <v/>
      </c>
      <c r="E389" s="70" t="str">
        <f>IFERROR(ROUNDUP(Kredyt1[[#This Row],[Miesiąc kredytu]]/12,0),"")</f>
        <v/>
      </c>
      <c r="F389" s="71" t="str">
        <f t="shared" si="5"/>
        <v/>
      </c>
      <c r="G389" s="72" t="str" cm="1">
        <f t="array" ref="G389">IF(Kredyt1[[#This Row],[Data]]="","",WIBOR3M)</f>
        <v/>
      </c>
      <c r="H389" s="72" t="str" cm="1">
        <f t="array" ref="H389">IF(Kredyt1[[#This Row],[Data]]="","",G389+MarżaBAnku)</f>
        <v/>
      </c>
      <c r="I389" s="73" t="str">
        <f>IF(Kredyt1[[#This Row],[Data]]="","",Kredyt1[[#This Row],[Cała rata]]-Kredyt1[[#This Row],[Kapitał]])</f>
        <v/>
      </c>
      <c r="J389" s="74" t="str" cm="1">
        <f t="array" ref="J389">IFERROR(-PPMT(Kredyt1[[#This Row],[Oprocentowanie]]/12,Kredyt1[[#This Row],[Miesiąc kredytu]],IlośćRat,KwotaKredytu),"")</f>
        <v/>
      </c>
      <c r="K389" s="75" t="str" cm="1">
        <f t="array" ref="K389">IF(Kredyt1[[#This Row],[Miesiąc kredytu]]="","",-PMT(Kredyt1[[#This Row],[Oprocentowanie]]/12,IlośćRat,KwotaKredytu))</f>
        <v/>
      </c>
      <c r="L389" s="75">
        <v>0</v>
      </c>
      <c r="M389" s="76" t="str">
        <f>IFERROR(M388-J389-Kredyt1[[#This Row],[Nadpłata]],"")</f>
        <v/>
      </c>
    </row>
    <row r="390" spans="4:13">
      <c r="D390" s="70" t="str" cm="1">
        <f t="array" ref="D390">IF(ROW(385:385)&lt;=IlośćRat,ROW(385:385),"")</f>
        <v/>
      </c>
      <c r="E390" s="70" t="str">
        <f>IFERROR(ROUNDUP(Kredyt1[[#This Row],[Miesiąc kredytu]]/12,0),"")</f>
        <v/>
      </c>
      <c r="F390" s="71" t="str">
        <f t="shared" ref="F390:F453" si="6">IFERROR(EDATE($B$6,D390-1),"")</f>
        <v/>
      </c>
      <c r="G390" s="72" t="str" cm="1">
        <f t="array" ref="G390">IF(Kredyt1[[#This Row],[Data]]="","",WIBOR3M)</f>
        <v/>
      </c>
      <c r="H390" s="72" t="str" cm="1">
        <f t="array" ref="H390">IF(Kredyt1[[#This Row],[Data]]="","",G390+MarżaBAnku)</f>
        <v/>
      </c>
      <c r="I390" s="73" t="str">
        <f>IF(Kredyt1[[#This Row],[Data]]="","",Kredyt1[[#This Row],[Cała rata]]-Kredyt1[[#This Row],[Kapitał]])</f>
        <v/>
      </c>
      <c r="J390" s="74" t="str" cm="1">
        <f t="array" ref="J390">IFERROR(-PPMT(Kredyt1[[#This Row],[Oprocentowanie]]/12,Kredyt1[[#This Row],[Miesiąc kredytu]],IlośćRat,KwotaKredytu),"")</f>
        <v/>
      </c>
      <c r="K390" s="75" t="str" cm="1">
        <f t="array" ref="K390">IF(Kredyt1[[#This Row],[Miesiąc kredytu]]="","",-PMT(Kredyt1[[#This Row],[Oprocentowanie]]/12,IlośćRat,KwotaKredytu))</f>
        <v/>
      </c>
      <c r="L390" s="75">
        <v>0</v>
      </c>
      <c r="M390" s="76" t="str">
        <f>IFERROR(M389-J390-Kredyt1[[#This Row],[Nadpłata]],"")</f>
        <v/>
      </c>
    </row>
    <row r="391" spans="4:13">
      <c r="D391" s="70" t="str" cm="1">
        <f t="array" ref="D391">IF(ROW(386:386)&lt;=IlośćRat,ROW(386:386),"")</f>
        <v/>
      </c>
      <c r="E391" s="70" t="str">
        <f>IFERROR(ROUNDUP(Kredyt1[[#This Row],[Miesiąc kredytu]]/12,0),"")</f>
        <v/>
      </c>
      <c r="F391" s="71" t="str">
        <f t="shared" si="6"/>
        <v/>
      </c>
      <c r="G391" s="72" t="str" cm="1">
        <f t="array" ref="G391">IF(Kredyt1[[#This Row],[Data]]="","",WIBOR3M)</f>
        <v/>
      </c>
      <c r="H391" s="72" t="str" cm="1">
        <f t="array" ref="H391">IF(Kredyt1[[#This Row],[Data]]="","",G391+MarżaBAnku)</f>
        <v/>
      </c>
      <c r="I391" s="73" t="str">
        <f>IF(Kredyt1[[#This Row],[Data]]="","",Kredyt1[[#This Row],[Cała rata]]-Kredyt1[[#This Row],[Kapitał]])</f>
        <v/>
      </c>
      <c r="J391" s="74" t="str" cm="1">
        <f t="array" ref="J391">IFERROR(-PPMT(Kredyt1[[#This Row],[Oprocentowanie]]/12,Kredyt1[[#This Row],[Miesiąc kredytu]],IlośćRat,KwotaKredytu),"")</f>
        <v/>
      </c>
      <c r="K391" s="75" t="str" cm="1">
        <f t="array" ref="K391">IF(Kredyt1[[#This Row],[Miesiąc kredytu]]="","",-PMT(Kredyt1[[#This Row],[Oprocentowanie]]/12,IlośćRat,KwotaKredytu))</f>
        <v/>
      </c>
      <c r="L391" s="75">
        <v>0</v>
      </c>
      <c r="M391" s="76" t="str">
        <f>IFERROR(M390-J391-Kredyt1[[#This Row],[Nadpłata]],"")</f>
        <v/>
      </c>
    </row>
    <row r="392" spans="4:13">
      <c r="D392" s="70" t="str" cm="1">
        <f t="array" ref="D392">IF(ROW(387:387)&lt;=IlośćRat,ROW(387:387),"")</f>
        <v/>
      </c>
      <c r="E392" s="70" t="str">
        <f>IFERROR(ROUNDUP(Kredyt1[[#This Row],[Miesiąc kredytu]]/12,0),"")</f>
        <v/>
      </c>
      <c r="F392" s="71" t="str">
        <f t="shared" si="6"/>
        <v/>
      </c>
      <c r="G392" s="72" t="str" cm="1">
        <f t="array" ref="G392">IF(Kredyt1[[#This Row],[Data]]="","",WIBOR3M)</f>
        <v/>
      </c>
      <c r="H392" s="72" t="str" cm="1">
        <f t="array" ref="H392">IF(Kredyt1[[#This Row],[Data]]="","",G392+MarżaBAnku)</f>
        <v/>
      </c>
      <c r="I392" s="73" t="str">
        <f>IF(Kredyt1[[#This Row],[Data]]="","",Kredyt1[[#This Row],[Cała rata]]-Kredyt1[[#This Row],[Kapitał]])</f>
        <v/>
      </c>
      <c r="J392" s="74" t="str" cm="1">
        <f t="array" ref="J392">IFERROR(-PPMT(Kredyt1[[#This Row],[Oprocentowanie]]/12,Kredyt1[[#This Row],[Miesiąc kredytu]],IlośćRat,KwotaKredytu),"")</f>
        <v/>
      </c>
      <c r="K392" s="75" t="str" cm="1">
        <f t="array" ref="K392">IF(Kredyt1[[#This Row],[Miesiąc kredytu]]="","",-PMT(Kredyt1[[#This Row],[Oprocentowanie]]/12,IlośćRat,KwotaKredytu))</f>
        <v/>
      </c>
      <c r="L392" s="75">
        <v>0</v>
      </c>
      <c r="M392" s="76" t="str">
        <f>IFERROR(M391-J392-Kredyt1[[#This Row],[Nadpłata]],"")</f>
        <v/>
      </c>
    </row>
    <row r="393" spans="4:13">
      <c r="D393" s="70" t="str" cm="1">
        <f t="array" ref="D393">IF(ROW(388:388)&lt;=IlośćRat,ROW(388:388),"")</f>
        <v/>
      </c>
      <c r="E393" s="70" t="str">
        <f>IFERROR(ROUNDUP(Kredyt1[[#This Row],[Miesiąc kredytu]]/12,0),"")</f>
        <v/>
      </c>
      <c r="F393" s="71" t="str">
        <f t="shared" si="6"/>
        <v/>
      </c>
      <c r="G393" s="72" t="str" cm="1">
        <f t="array" ref="G393">IF(Kredyt1[[#This Row],[Data]]="","",WIBOR3M)</f>
        <v/>
      </c>
      <c r="H393" s="72" t="str" cm="1">
        <f t="array" ref="H393">IF(Kredyt1[[#This Row],[Data]]="","",G393+MarżaBAnku)</f>
        <v/>
      </c>
      <c r="I393" s="73" t="str">
        <f>IF(Kredyt1[[#This Row],[Data]]="","",Kredyt1[[#This Row],[Cała rata]]-Kredyt1[[#This Row],[Kapitał]])</f>
        <v/>
      </c>
      <c r="J393" s="74" t="str" cm="1">
        <f t="array" ref="J393">IFERROR(-PPMT(Kredyt1[[#This Row],[Oprocentowanie]]/12,Kredyt1[[#This Row],[Miesiąc kredytu]],IlośćRat,KwotaKredytu),"")</f>
        <v/>
      </c>
      <c r="K393" s="75" t="str" cm="1">
        <f t="array" ref="K393">IF(Kredyt1[[#This Row],[Miesiąc kredytu]]="","",-PMT(Kredyt1[[#This Row],[Oprocentowanie]]/12,IlośćRat,KwotaKredytu))</f>
        <v/>
      </c>
      <c r="L393" s="75">
        <v>0</v>
      </c>
      <c r="M393" s="76" t="str">
        <f>IFERROR(M392-J393-Kredyt1[[#This Row],[Nadpłata]],"")</f>
        <v/>
      </c>
    </row>
    <row r="394" spans="4:13">
      <c r="D394" s="70" t="str" cm="1">
        <f t="array" ref="D394">IF(ROW(389:389)&lt;=IlośćRat,ROW(389:389),"")</f>
        <v/>
      </c>
      <c r="E394" s="70" t="str">
        <f>IFERROR(ROUNDUP(Kredyt1[[#This Row],[Miesiąc kredytu]]/12,0),"")</f>
        <v/>
      </c>
      <c r="F394" s="71" t="str">
        <f t="shared" si="6"/>
        <v/>
      </c>
      <c r="G394" s="72" t="str" cm="1">
        <f t="array" ref="G394">IF(Kredyt1[[#This Row],[Data]]="","",WIBOR3M)</f>
        <v/>
      </c>
      <c r="H394" s="72" t="str" cm="1">
        <f t="array" ref="H394">IF(Kredyt1[[#This Row],[Data]]="","",G394+MarżaBAnku)</f>
        <v/>
      </c>
      <c r="I394" s="73" t="str">
        <f>IF(Kredyt1[[#This Row],[Data]]="","",Kredyt1[[#This Row],[Cała rata]]-Kredyt1[[#This Row],[Kapitał]])</f>
        <v/>
      </c>
      <c r="J394" s="74" t="str" cm="1">
        <f t="array" ref="J394">IFERROR(-PPMT(Kredyt1[[#This Row],[Oprocentowanie]]/12,Kredyt1[[#This Row],[Miesiąc kredytu]],IlośćRat,KwotaKredytu),"")</f>
        <v/>
      </c>
      <c r="K394" s="75" t="str" cm="1">
        <f t="array" ref="K394">IF(Kredyt1[[#This Row],[Miesiąc kredytu]]="","",-PMT(Kredyt1[[#This Row],[Oprocentowanie]]/12,IlośćRat,KwotaKredytu))</f>
        <v/>
      </c>
      <c r="L394" s="75">
        <v>0</v>
      </c>
      <c r="M394" s="76" t="str">
        <f>IFERROR(M393-J394-Kredyt1[[#This Row],[Nadpłata]],"")</f>
        <v/>
      </c>
    </row>
    <row r="395" spans="4:13">
      <c r="D395" s="70" t="str" cm="1">
        <f t="array" ref="D395">IF(ROW(390:390)&lt;=IlośćRat,ROW(390:390),"")</f>
        <v/>
      </c>
      <c r="E395" s="70" t="str">
        <f>IFERROR(ROUNDUP(Kredyt1[[#This Row],[Miesiąc kredytu]]/12,0),"")</f>
        <v/>
      </c>
      <c r="F395" s="71" t="str">
        <f t="shared" si="6"/>
        <v/>
      </c>
      <c r="G395" s="72" t="str" cm="1">
        <f t="array" ref="G395">IF(Kredyt1[[#This Row],[Data]]="","",WIBOR3M)</f>
        <v/>
      </c>
      <c r="H395" s="72" t="str" cm="1">
        <f t="array" ref="H395">IF(Kredyt1[[#This Row],[Data]]="","",G395+MarżaBAnku)</f>
        <v/>
      </c>
      <c r="I395" s="73" t="str">
        <f>IF(Kredyt1[[#This Row],[Data]]="","",Kredyt1[[#This Row],[Cała rata]]-Kredyt1[[#This Row],[Kapitał]])</f>
        <v/>
      </c>
      <c r="J395" s="74" t="str" cm="1">
        <f t="array" ref="J395">IFERROR(-PPMT(Kredyt1[[#This Row],[Oprocentowanie]]/12,Kredyt1[[#This Row],[Miesiąc kredytu]],IlośćRat,KwotaKredytu),"")</f>
        <v/>
      </c>
      <c r="K395" s="75" t="str" cm="1">
        <f t="array" ref="K395">IF(Kredyt1[[#This Row],[Miesiąc kredytu]]="","",-PMT(Kredyt1[[#This Row],[Oprocentowanie]]/12,IlośćRat,KwotaKredytu))</f>
        <v/>
      </c>
      <c r="L395" s="75">
        <v>0</v>
      </c>
      <c r="M395" s="76" t="str">
        <f>IFERROR(M394-J395-Kredyt1[[#This Row],[Nadpłata]],"")</f>
        <v/>
      </c>
    </row>
    <row r="396" spans="4:13">
      <c r="D396" s="70" t="str" cm="1">
        <f t="array" ref="D396">IF(ROW(391:391)&lt;=IlośćRat,ROW(391:391),"")</f>
        <v/>
      </c>
      <c r="E396" s="70" t="str">
        <f>IFERROR(ROUNDUP(Kredyt1[[#This Row],[Miesiąc kredytu]]/12,0),"")</f>
        <v/>
      </c>
      <c r="F396" s="71" t="str">
        <f t="shared" si="6"/>
        <v/>
      </c>
      <c r="G396" s="72" t="str" cm="1">
        <f t="array" ref="G396">IF(Kredyt1[[#This Row],[Data]]="","",WIBOR3M)</f>
        <v/>
      </c>
      <c r="H396" s="72" t="str" cm="1">
        <f t="array" ref="H396">IF(Kredyt1[[#This Row],[Data]]="","",G396+MarżaBAnku)</f>
        <v/>
      </c>
      <c r="I396" s="73" t="str">
        <f>IF(Kredyt1[[#This Row],[Data]]="","",Kredyt1[[#This Row],[Cała rata]]-Kredyt1[[#This Row],[Kapitał]])</f>
        <v/>
      </c>
      <c r="J396" s="74" t="str" cm="1">
        <f t="array" ref="J396">IFERROR(-PPMT(Kredyt1[[#This Row],[Oprocentowanie]]/12,Kredyt1[[#This Row],[Miesiąc kredytu]],IlośćRat,KwotaKredytu),"")</f>
        <v/>
      </c>
      <c r="K396" s="75" t="str" cm="1">
        <f t="array" ref="K396">IF(Kredyt1[[#This Row],[Miesiąc kredytu]]="","",-PMT(Kredyt1[[#This Row],[Oprocentowanie]]/12,IlośćRat,KwotaKredytu))</f>
        <v/>
      </c>
      <c r="L396" s="75">
        <v>0</v>
      </c>
      <c r="M396" s="76" t="str">
        <f>IFERROR(M395-J396-Kredyt1[[#This Row],[Nadpłata]],"")</f>
        <v/>
      </c>
    </row>
    <row r="397" spans="4:13">
      <c r="D397" s="70" t="str" cm="1">
        <f t="array" ref="D397">IF(ROW(392:392)&lt;=IlośćRat,ROW(392:392),"")</f>
        <v/>
      </c>
      <c r="E397" s="70" t="str">
        <f>IFERROR(ROUNDUP(Kredyt1[[#This Row],[Miesiąc kredytu]]/12,0),"")</f>
        <v/>
      </c>
      <c r="F397" s="71" t="str">
        <f t="shared" si="6"/>
        <v/>
      </c>
      <c r="G397" s="72" t="str" cm="1">
        <f t="array" ref="G397">IF(Kredyt1[[#This Row],[Data]]="","",WIBOR3M)</f>
        <v/>
      </c>
      <c r="H397" s="72" t="str" cm="1">
        <f t="array" ref="H397">IF(Kredyt1[[#This Row],[Data]]="","",G397+MarżaBAnku)</f>
        <v/>
      </c>
      <c r="I397" s="73" t="str">
        <f>IF(Kredyt1[[#This Row],[Data]]="","",Kredyt1[[#This Row],[Cała rata]]-Kredyt1[[#This Row],[Kapitał]])</f>
        <v/>
      </c>
      <c r="J397" s="74" t="str" cm="1">
        <f t="array" ref="J397">IFERROR(-PPMT(Kredyt1[[#This Row],[Oprocentowanie]]/12,Kredyt1[[#This Row],[Miesiąc kredytu]],IlośćRat,KwotaKredytu),"")</f>
        <v/>
      </c>
      <c r="K397" s="75" t="str" cm="1">
        <f t="array" ref="K397">IF(Kredyt1[[#This Row],[Miesiąc kredytu]]="","",-PMT(Kredyt1[[#This Row],[Oprocentowanie]]/12,IlośćRat,KwotaKredytu))</f>
        <v/>
      </c>
      <c r="L397" s="75">
        <v>0</v>
      </c>
      <c r="M397" s="76" t="str">
        <f>IFERROR(M396-J397-Kredyt1[[#This Row],[Nadpłata]],"")</f>
        <v/>
      </c>
    </row>
    <row r="398" spans="4:13">
      <c r="D398" s="70" t="str" cm="1">
        <f t="array" ref="D398">IF(ROW(393:393)&lt;=IlośćRat,ROW(393:393),"")</f>
        <v/>
      </c>
      <c r="E398" s="70" t="str">
        <f>IFERROR(ROUNDUP(Kredyt1[[#This Row],[Miesiąc kredytu]]/12,0),"")</f>
        <v/>
      </c>
      <c r="F398" s="71" t="str">
        <f t="shared" si="6"/>
        <v/>
      </c>
      <c r="G398" s="72" t="str" cm="1">
        <f t="array" ref="G398">IF(Kredyt1[[#This Row],[Data]]="","",WIBOR3M)</f>
        <v/>
      </c>
      <c r="H398" s="72" t="str" cm="1">
        <f t="array" ref="H398">IF(Kredyt1[[#This Row],[Data]]="","",G398+MarżaBAnku)</f>
        <v/>
      </c>
      <c r="I398" s="73" t="str">
        <f>IF(Kredyt1[[#This Row],[Data]]="","",Kredyt1[[#This Row],[Cała rata]]-Kredyt1[[#This Row],[Kapitał]])</f>
        <v/>
      </c>
      <c r="J398" s="74" t="str" cm="1">
        <f t="array" ref="J398">IFERROR(-PPMT(Kredyt1[[#This Row],[Oprocentowanie]]/12,Kredyt1[[#This Row],[Miesiąc kredytu]],IlośćRat,KwotaKredytu),"")</f>
        <v/>
      </c>
      <c r="K398" s="75" t="str" cm="1">
        <f t="array" ref="K398">IF(Kredyt1[[#This Row],[Miesiąc kredytu]]="","",-PMT(Kredyt1[[#This Row],[Oprocentowanie]]/12,IlośćRat,KwotaKredytu))</f>
        <v/>
      </c>
      <c r="L398" s="75">
        <v>0</v>
      </c>
      <c r="M398" s="76" t="str">
        <f>IFERROR(M397-J398-Kredyt1[[#This Row],[Nadpłata]],"")</f>
        <v/>
      </c>
    </row>
    <row r="399" spans="4:13">
      <c r="D399" s="70" t="str" cm="1">
        <f t="array" ref="D399">IF(ROW(394:394)&lt;=IlośćRat,ROW(394:394),"")</f>
        <v/>
      </c>
      <c r="E399" s="70" t="str">
        <f>IFERROR(ROUNDUP(Kredyt1[[#This Row],[Miesiąc kredytu]]/12,0),"")</f>
        <v/>
      </c>
      <c r="F399" s="71" t="str">
        <f t="shared" si="6"/>
        <v/>
      </c>
      <c r="G399" s="72" t="str" cm="1">
        <f t="array" ref="G399">IF(Kredyt1[[#This Row],[Data]]="","",WIBOR3M)</f>
        <v/>
      </c>
      <c r="H399" s="72" t="str" cm="1">
        <f t="array" ref="H399">IF(Kredyt1[[#This Row],[Data]]="","",G399+MarżaBAnku)</f>
        <v/>
      </c>
      <c r="I399" s="73" t="str">
        <f>IF(Kredyt1[[#This Row],[Data]]="","",Kredyt1[[#This Row],[Cała rata]]-Kredyt1[[#This Row],[Kapitał]])</f>
        <v/>
      </c>
      <c r="J399" s="74" t="str" cm="1">
        <f t="array" ref="J399">IFERROR(-PPMT(Kredyt1[[#This Row],[Oprocentowanie]]/12,Kredyt1[[#This Row],[Miesiąc kredytu]],IlośćRat,KwotaKredytu),"")</f>
        <v/>
      </c>
      <c r="K399" s="75" t="str" cm="1">
        <f t="array" ref="K399">IF(Kredyt1[[#This Row],[Miesiąc kredytu]]="","",-PMT(Kredyt1[[#This Row],[Oprocentowanie]]/12,IlośćRat,KwotaKredytu))</f>
        <v/>
      </c>
      <c r="L399" s="75">
        <v>0</v>
      </c>
      <c r="M399" s="76" t="str">
        <f>IFERROR(M398-J399-Kredyt1[[#This Row],[Nadpłata]],"")</f>
        <v/>
      </c>
    </row>
    <row r="400" spans="4:13">
      <c r="D400" s="70" t="str" cm="1">
        <f t="array" ref="D400">IF(ROW(395:395)&lt;=IlośćRat,ROW(395:395),"")</f>
        <v/>
      </c>
      <c r="E400" s="70" t="str">
        <f>IFERROR(ROUNDUP(Kredyt1[[#This Row],[Miesiąc kredytu]]/12,0),"")</f>
        <v/>
      </c>
      <c r="F400" s="71" t="str">
        <f t="shared" si="6"/>
        <v/>
      </c>
      <c r="G400" s="72" t="str" cm="1">
        <f t="array" ref="G400">IF(Kredyt1[[#This Row],[Data]]="","",WIBOR3M)</f>
        <v/>
      </c>
      <c r="H400" s="72" t="str" cm="1">
        <f t="array" ref="H400">IF(Kredyt1[[#This Row],[Data]]="","",G400+MarżaBAnku)</f>
        <v/>
      </c>
      <c r="I400" s="73" t="str">
        <f>IF(Kredyt1[[#This Row],[Data]]="","",Kredyt1[[#This Row],[Cała rata]]-Kredyt1[[#This Row],[Kapitał]])</f>
        <v/>
      </c>
      <c r="J400" s="74" t="str" cm="1">
        <f t="array" ref="J400">IFERROR(-PPMT(Kredyt1[[#This Row],[Oprocentowanie]]/12,Kredyt1[[#This Row],[Miesiąc kredytu]],IlośćRat,KwotaKredytu),"")</f>
        <v/>
      </c>
      <c r="K400" s="75" t="str" cm="1">
        <f t="array" ref="K400">IF(Kredyt1[[#This Row],[Miesiąc kredytu]]="","",-PMT(Kredyt1[[#This Row],[Oprocentowanie]]/12,IlośćRat,KwotaKredytu))</f>
        <v/>
      </c>
      <c r="L400" s="75">
        <v>0</v>
      </c>
      <c r="M400" s="76" t="str">
        <f>IFERROR(M399-J400-Kredyt1[[#This Row],[Nadpłata]],"")</f>
        <v/>
      </c>
    </row>
    <row r="401" spans="4:13">
      <c r="D401" s="70" t="str" cm="1">
        <f t="array" ref="D401">IF(ROW(396:396)&lt;=IlośćRat,ROW(396:396),"")</f>
        <v/>
      </c>
      <c r="E401" s="70" t="str">
        <f>IFERROR(ROUNDUP(Kredyt1[[#This Row],[Miesiąc kredytu]]/12,0),"")</f>
        <v/>
      </c>
      <c r="F401" s="71" t="str">
        <f t="shared" si="6"/>
        <v/>
      </c>
      <c r="G401" s="72" t="str" cm="1">
        <f t="array" ref="G401">IF(Kredyt1[[#This Row],[Data]]="","",WIBOR3M)</f>
        <v/>
      </c>
      <c r="H401" s="72" t="str" cm="1">
        <f t="array" ref="H401">IF(Kredyt1[[#This Row],[Data]]="","",G401+MarżaBAnku)</f>
        <v/>
      </c>
      <c r="I401" s="73" t="str">
        <f>IF(Kredyt1[[#This Row],[Data]]="","",Kredyt1[[#This Row],[Cała rata]]-Kredyt1[[#This Row],[Kapitał]])</f>
        <v/>
      </c>
      <c r="J401" s="74" t="str" cm="1">
        <f t="array" ref="J401">IFERROR(-PPMT(Kredyt1[[#This Row],[Oprocentowanie]]/12,Kredyt1[[#This Row],[Miesiąc kredytu]],IlośćRat,KwotaKredytu),"")</f>
        <v/>
      </c>
      <c r="K401" s="75" t="str" cm="1">
        <f t="array" ref="K401">IF(Kredyt1[[#This Row],[Miesiąc kredytu]]="","",-PMT(Kredyt1[[#This Row],[Oprocentowanie]]/12,IlośćRat,KwotaKredytu))</f>
        <v/>
      </c>
      <c r="L401" s="75">
        <v>0</v>
      </c>
      <c r="M401" s="76" t="str">
        <f>IFERROR(M400-J401-Kredyt1[[#This Row],[Nadpłata]],"")</f>
        <v/>
      </c>
    </row>
    <row r="402" spans="4:13">
      <c r="D402" s="70" t="str" cm="1">
        <f t="array" ref="D402">IF(ROW(397:397)&lt;=IlośćRat,ROW(397:397),"")</f>
        <v/>
      </c>
      <c r="E402" s="70" t="str">
        <f>IFERROR(ROUNDUP(Kredyt1[[#This Row],[Miesiąc kredytu]]/12,0),"")</f>
        <v/>
      </c>
      <c r="F402" s="71" t="str">
        <f t="shared" si="6"/>
        <v/>
      </c>
      <c r="G402" s="72" t="str" cm="1">
        <f t="array" ref="G402">IF(Kredyt1[[#This Row],[Data]]="","",WIBOR3M)</f>
        <v/>
      </c>
      <c r="H402" s="72" t="str" cm="1">
        <f t="array" ref="H402">IF(Kredyt1[[#This Row],[Data]]="","",G402+MarżaBAnku)</f>
        <v/>
      </c>
      <c r="I402" s="73" t="str">
        <f>IF(Kredyt1[[#This Row],[Data]]="","",Kredyt1[[#This Row],[Cała rata]]-Kredyt1[[#This Row],[Kapitał]])</f>
        <v/>
      </c>
      <c r="J402" s="74" t="str" cm="1">
        <f t="array" ref="J402">IFERROR(-PPMT(Kredyt1[[#This Row],[Oprocentowanie]]/12,Kredyt1[[#This Row],[Miesiąc kredytu]],IlośćRat,KwotaKredytu),"")</f>
        <v/>
      </c>
      <c r="K402" s="75" t="str" cm="1">
        <f t="array" ref="K402">IF(Kredyt1[[#This Row],[Miesiąc kredytu]]="","",-PMT(Kredyt1[[#This Row],[Oprocentowanie]]/12,IlośćRat,KwotaKredytu))</f>
        <v/>
      </c>
      <c r="L402" s="75">
        <v>0</v>
      </c>
      <c r="M402" s="76" t="str">
        <f>IFERROR(M401-J402-Kredyt1[[#This Row],[Nadpłata]],"")</f>
        <v/>
      </c>
    </row>
    <row r="403" spans="4:13">
      <c r="D403" s="70" t="str" cm="1">
        <f t="array" ref="D403">IF(ROW(398:398)&lt;=IlośćRat,ROW(398:398),"")</f>
        <v/>
      </c>
      <c r="E403" s="70" t="str">
        <f>IFERROR(ROUNDUP(Kredyt1[[#This Row],[Miesiąc kredytu]]/12,0),"")</f>
        <v/>
      </c>
      <c r="F403" s="71" t="str">
        <f t="shared" si="6"/>
        <v/>
      </c>
      <c r="G403" s="72" t="str" cm="1">
        <f t="array" ref="G403">IF(Kredyt1[[#This Row],[Data]]="","",WIBOR3M)</f>
        <v/>
      </c>
      <c r="H403" s="72" t="str" cm="1">
        <f t="array" ref="H403">IF(Kredyt1[[#This Row],[Data]]="","",G403+MarżaBAnku)</f>
        <v/>
      </c>
      <c r="I403" s="73" t="str">
        <f>IF(Kredyt1[[#This Row],[Data]]="","",Kredyt1[[#This Row],[Cała rata]]-Kredyt1[[#This Row],[Kapitał]])</f>
        <v/>
      </c>
      <c r="J403" s="74" t="str" cm="1">
        <f t="array" ref="J403">IFERROR(-PPMT(Kredyt1[[#This Row],[Oprocentowanie]]/12,Kredyt1[[#This Row],[Miesiąc kredytu]],IlośćRat,KwotaKredytu),"")</f>
        <v/>
      </c>
      <c r="K403" s="75" t="str" cm="1">
        <f t="array" ref="K403">IF(Kredyt1[[#This Row],[Miesiąc kredytu]]="","",-PMT(Kredyt1[[#This Row],[Oprocentowanie]]/12,IlośćRat,KwotaKredytu))</f>
        <v/>
      </c>
      <c r="L403" s="75">
        <v>0</v>
      </c>
      <c r="M403" s="76" t="str">
        <f>IFERROR(M402-J403-Kredyt1[[#This Row],[Nadpłata]],"")</f>
        <v/>
      </c>
    </row>
    <row r="404" spans="4:13">
      <c r="D404" s="70" t="str" cm="1">
        <f t="array" ref="D404">IF(ROW(399:399)&lt;=IlośćRat,ROW(399:399),"")</f>
        <v/>
      </c>
      <c r="E404" s="70" t="str">
        <f>IFERROR(ROUNDUP(Kredyt1[[#This Row],[Miesiąc kredytu]]/12,0),"")</f>
        <v/>
      </c>
      <c r="F404" s="71" t="str">
        <f t="shared" si="6"/>
        <v/>
      </c>
      <c r="G404" s="72" t="str" cm="1">
        <f t="array" ref="G404">IF(Kredyt1[[#This Row],[Data]]="","",WIBOR3M)</f>
        <v/>
      </c>
      <c r="H404" s="72" t="str" cm="1">
        <f t="array" ref="H404">IF(Kredyt1[[#This Row],[Data]]="","",G404+MarżaBAnku)</f>
        <v/>
      </c>
      <c r="I404" s="73" t="str">
        <f>IF(Kredyt1[[#This Row],[Data]]="","",Kredyt1[[#This Row],[Cała rata]]-Kredyt1[[#This Row],[Kapitał]])</f>
        <v/>
      </c>
      <c r="J404" s="74" t="str" cm="1">
        <f t="array" ref="J404">IFERROR(-PPMT(Kredyt1[[#This Row],[Oprocentowanie]]/12,Kredyt1[[#This Row],[Miesiąc kredytu]],IlośćRat,KwotaKredytu),"")</f>
        <v/>
      </c>
      <c r="K404" s="75" t="str" cm="1">
        <f t="array" ref="K404">IF(Kredyt1[[#This Row],[Miesiąc kredytu]]="","",-PMT(Kredyt1[[#This Row],[Oprocentowanie]]/12,IlośćRat,KwotaKredytu))</f>
        <v/>
      </c>
      <c r="L404" s="75">
        <v>0</v>
      </c>
      <c r="M404" s="76" t="str">
        <f>IFERROR(M403-J404-Kredyt1[[#This Row],[Nadpłata]],"")</f>
        <v/>
      </c>
    </row>
    <row r="405" spans="4:13">
      <c r="D405" s="70" t="str" cm="1">
        <f t="array" ref="D405">IF(ROW(400:400)&lt;=IlośćRat,ROW(400:400),"")</f>
        <v/>
      </c>
      <c r="E405" s="70" t="str">
        <f>IFERROR(ROUNDUP(Kredyt1[[#This Row],[Miesiąc kredytu]]/12,0),"")</f>
        <v/>
      </c>
      <c r="F405" s="71" t="str">
        <f t="shared" si="6"/>
        <v/>
      </c>
      <c r="G405" s="72" t="str" cm="1">
        <f t="array" ref="G405">IF(Kredyt1[[#This Row],[Data]]="","",WIBOR3M)</f>
        <v/>
      </c>
      <c r="H405" s="72" t="str" cm="1">
        <f t="array" ref="H405">IF(Kredyt1[[#This Row],[Data]]="","",G405+MarżaBAnku)</f>
        <v/>
      </c>
      <c r="I405" s="73" t="str">
        <f>IF(Kredyt1[[#This Row],[Data]]="","",Kredyt1[[#This Row],[Cała rata]]-Kredyt1[[#This Row],[Kapitał]])</f>
        <v/>
      </c>
      <c r="J405" s="74" t="str" cm="1">
        <f t="array" ref="J405">IFERROR(-PPMT(Kredyt1[[#This Row],[Oprocentowanie]]/12,Kredyt1[[#This Row],[Miesiąc kredytu]],IlośćRat,KwotaKredytu),"")</f>
        <v/>
      </c>
      <c r="K405" s="75" t="str" cm="1">
        <f t="array" ref="K405">IF(Kredyt1[[#This Row],[Miesiąc kredytu]]="","",-PMT(Kredyt1[[#This Row],[Oprocentowanie]]/12,IlośćRat,KwotaKredytu))</f>
        <v/>
      </c>
      <c r="L405" s="75">
        <v>0</v>
      </c>
      <c r="M405" s="76" t="str">
        <f>IFERROR(M404-J405-Kredyt1[[#This Row],[Nadpłata]],"")</f>
        <v/>
      </c>
    </row>
    <row r="406" spans="4:13">
      <c r="D406" s="70" t="str" cm="1">
        <f t="array" ref="D406">IF(ROW(401:401)&lt;=IlośćRat,ROW(401:401),"")</f>
        <v/>
      </c>
      <c r="E406" s="70" t="str">
        <f>IFERROR(ROUNDUP(Kredyt1[[#This Row],[Miesiąc kredytu]]/12,0),"")</f>
        <v/>
      </c>
      <c r="F406" s="71" t="str">
        <f t="shared" si="6"/>
        <v/>
      </c>
      <c r="G406" s="72" t="str" cm="1">
        <f t="array" ref="G406">IF(Kredyt1[[#This Row],[Data]]="","",WIBOR3M)</f>
        <v/>
      </c>
      <c r="H406" s="72" t="str" cm="1">
        <f t="array" ref="H406">IF(Kredyt1[[#This Row],[Data]]="","",G406+MarżaBAnku)</f>
        <v/>
      </c>
      <c r="I406" s="73" t="str">
        <f>IF(Kredyt1[[#This Row],[Data]]="","",Kredyt1[[#This Row],[Cała rata]]-Kredyt1[[#This Row],[Kapitał]])</f>
        <v/>
      </c>
      <c r="J406" s="74" t="str" cm="1">
        <f t="array" ref="J406">IFERROR(-PPMT(Kredyt1[[#This Row],[Oprocentowanie]]/12,Kredyt1[[#This Row],[Miesiąc kredytu]],IlośćRat,KwotaKredytu),"")</f>
        <v/>
      </c>
      <c r="K406" s="75" t="str" cm="1">
        <f t="array" ref="K406">IF(Kredyt1[[#This Row],[Miesiąc kredytu]]="","",-PMT(Kredyt1[[#This Row],[Oprocentowanie]]/12,IlośćRat,KwotaKredytu))</f>
        <v/>
      </c>
      <c r="L406" s="75">
        <v>0</v>
      </c>
      <c r="M406" s="76" t="str">
        <f>IFERROR(M405-J406-Kredyt1[[#This Row],[Nadpłata]],"")</f>
        <v/>
      </c>
    </row>
    <row r="407" spans="4:13">
      <c r="D407" s="70" t="str" cm="1">
        <f t="array" ref="D407">IF(ROW(402:402)&lt;=IlośćRat,ROW(402:402),"")</f>
        <v/>
      </c>
      <c r="E407" s="70" t="str">
        <f>IFERROR(ROUNDUP(Kredyt1[[#This Row],[Miesiąc kredytu]]/12,0),"")</f>
        <v/>
      </c>
      <c r="F407" s="71" t="str">
        <f t="shared" si="6"/>
        <v/>
      </c>
      <c r="G407" s="72" t="str" cm="1">
        <f t="array" ref="G407">IF(Kredyt1[[#This Row],[Data]]="","",WIBOR3M)</f>
        <v/>
      </c>
      <c r="H407" s="72" t="str" cm="1">
        <f t="array" ref="H407">IF(Kredyt1[[#This Row],[Data]]="","",G407+MarżaBAnku)</f>
        <v/>
      </c>
      <c r="I407" s="73" t="str">
        <f>IF(Kredyt1[[#This Row],[Data]]="","",Kredyt1[[#This Row],[Cała rata]]-Kredyt1[[#This Row],[Kapitał]])</f>
        <v/>
      </c>
      <c r="J407" s="74" t="str" cm="1">
        <f t="array" ref="J407">IFERROR(-PPMT(Kredyt1[[#This Row],[Oprocentowanie]]/12,Kredyt1[[#This Row],[Miesiąc kredytu]],IlośćRat,KwotaKredytu),"")</f>
        <v/>
      </c>
      <c r="K407" s="75" t="str" cm="1">
        <f t="array" ref="K407">IF(Kredyt1[[#This Row],[Miesiąc kredytu]]="","",-PMT(Kredyt1[[#This Row],[Oprocentowanie]]/12,IlośćRat,KwotaKredytu))</f>
        <v/>
      </c>
      <c r="L407" s="75">
        <v>0</v>
      </c>
      <c r="M407" s="76" t="str">
        <f>IFERROR(M406-J407-Kredyt1[[#This Row],[Nadpłata]],"")</f>
        <v/>
      </c>
    </row>
    <row r="408" spans="4:13">
      <c r="D408" s="70" t="str" cm="1">
        <f t="array" ref="D408">IF(ROW(403:403)&lt;=IlośćRat,ROW(403:403),"")</f>
        <v/>
      </c>
      <c r="E408" s="70" t="str">
        <f>IFERROR(ROUNDUP(Kredyt1[[#This Row],[Miesiąc kredytu]]/12,0),"")</f>
        <v/>
      </c>
      <c r="F408" s="71" t="str">
        <f t="shared" si="6"/>
        <v/>
      </c>
      <c r="G408" s="72" t="str" cm="1">
        <f t="array" ref="G408">IF(Kredyt1[[#This Row],[Data]]="","",WIBOR3M)</f>
        <v/>
      </c>
      <c r="H408" s="72" t="str" cm="1">
        <f t="array" ref="H408">IF(Kredyt1[[#This Row],[Data]]="","",G408+MarżaBAnku)</f>
        <v/>
      </c>
      <c r="I408" s="73" t="str">
        <f>IF(Kredyt1[[#This Row],[Data]]="","",Kredyt1[[#This Row],[Cała rata]]-Kredyt1[[#This Row],[Kapitał]])</f>
        <v/>
      </c>
      <c r="J408" s="74" t="str" cm="1">
        <f t="array" ref="J408">IFERROR(-PPMT(Kredyt1[[#This Row],[Oprocentowanie]]/12,Kredyt1[[#This Row],[Miesiąc kredytu]],IlośćRat,KwotaKredytu),"")</f>
        <v/>
      </c>
      <c r="K408" s="75" t="str" cm="1">
        <f t="array" ref="K408">IF(Kredyt1[[#This Row],[Miesiąc kredytu]]="","",-PMT(Kredyt1[[#This Row],[Oprocentowanie]]/12,IlośćRat,KwotaKredytu))</f>
        <v/>
      </c>
      <c r="L408" s="75">
        <v>0</v>
      </c>
      <c r="M408" s="76" t="str">
        <f>IFERROR(M407-J408-Kredyt1[[#This Row],[Nadpłata]],"")</f>
        <v/>
      </c>
    </row>
    <row r="409" spans="4:13">
      <c r="D409" s="70" t="str" cm="1">
        <f t="array" ref="D409">IF(ROW(404:404)&lt;=IlośćRat,ROW(404:404),"")</f>
        <v/>
      </c>
      <c r="E409" s="70" t="str">
        <f>IFERROR(ROUNDUP(Kredyt1[[#This Row],[Miesiąc kredytu]]/12,0),"")</f>
        <v/>
      </c>
      <c r="F409" s="71" t="str">
        <f t="shared" si="6"/>
        <v/>
      </c>
      <c r="G409" s="72" t="str" cm="1">
        <f t="array" ref="G409">IF(Kredyt1[[#This Row],[Data]]="","",WIBOR3M)</f>
        <v/>
      </c>
      <c r="H409" s="72" t="str" cm="1">
        <f t="array" ref="H409">IF(Kredyt1[[#This Row],[Data]]="","",G409+MarżaBAnku)</f>
        <v/>
      </c>
      <c r="I409" s="73" t="str">
        <f>IF(Kredyt1[[#This Row],[Data]]="","",Kredyt1[[#This Row],[Cała rata]]-Kredyt1[[#This Row],[Kapitał]])</f>
        <v/>
      </c>
      <c r="J409" s="74" t="str" cm="1">
        <f t="array" ref="J409">IFERROR(-PPMT(Kredyt1[[#This Row],[Oprocentowanie]]/12,Kredyt1[[#This Row],[Miesiąc kredytu]],IlośćRat,KwotaKredytu),"")</f>
        <v/>
      </c>
      <c r="K409" s="75" t="str" cm="1">
        <f t="array" ref="K409">IF(Kredyt1[[#This Row],[Miesiąc kredytu]]="","",-PMT(Kredyt1[[#This Row],[Oprocentowanie]]/12,IlośćRat,KwotaKredytu))</f>
        <v/>
      </c>
      <c r="L409" s="75">
        <v>0</v>
      </c>
      <c r="M409" s="76" t="str">
        <f>IFERROR(M408-J409-Kredyt1[[#This Row],[Nadpłata]],"")</f>
        <v/>
      </c>
    </row>
    <row r="410" spans="4:13">
      <c r="D410" s="70" t="str" cm="1">
        <f t="array" ref="D410">IF(ROW(405:405)&lt;=IlośćRat,ROW(405:405),"")</f>
        <v/>
      </c>
      <c r="E410" s="70" t="str">
        <f>IFERROR(ROUNDUP(Kredyt1[[#This Row],[Miesiąc kredytu]]/12,0),"")</f>
        <v/>
      </c>
      <c r="F410" s="71" t="str">
        <f t="shared" si="6"/>
        <v/>
      </c>
      <c r="G410" s="72" t="str" cm="1">
        <f t="array" ref="G410">IF(Kredyt1[[#This Row],[Data]]="","",WIBOR3M)</f>
        <v/>
      </c>
      <c r="H410" s="72" t="str" cm="1">
        <f t="array" ref="H410">IF(Kredyt1[[#This Row],[Data]]="","",G410+MarżaBAnku)</f>
        <v/>
      </c>
      <c r="I410" s="73" t="str">
        <f>IF(Kredyt1[[#This Row],[Data]]="","",Kredyt1[[#This Row],[Cała rata]]-Kredyt1[[#This Row],[Kapitał]])</f>
        <v/>
      </c>
      <c r="J410" s="74" t="str" cm="1">
        <f t="array" ref="J410">IFERROR(-PPMT(Kredyt1[[#This Row],[Oprocentowanie]]/12,Kredyt1[[#This Row],[Miesiąc kredytu]],IlośćRat,KwotaKredytu),"")</f>
        <v/>
      </c>
      <c r="K410" s="75" t="str" cm="1">
        <f t="array" ref="K410">IF(Kredyt1[[#This Row],[Miesiąc kredytu]]="","",-PMT(Kredyt1[[#This Row],[Oprocentowanie]]/12,IlośćRat,KwotaKredytu))</f>
        <v/>
      </c>
      <c r="L410" s="75">
        <v>0</v>
      </c>
      <c r="M410" s="76" t="str">
        <f>IFERROR(M409-J410-Kredyt1[[#This Row],[Nadpłata]],"")</f>
        <v/>
      </c>
    </row>
    <row r="411" spans="4:13">
      <c r="D411" s="70" t="str" cm="1">
        <f t="array" ref="D411">IF(ROW(406:406)&lt;=IlośćRat,ROW(406:406),"")</f>
        <v/>
      </c>
      <c r="E411" s="70" t="str">
        <f>IFERROR(ROUNDUP(Kredyt1[[#This Row],[Miesiąc kredytu]]/12,0),"")</f>
        <v/>
      </c>
      <c r="F411" s="71" t="str">
        <f t="shared" si="6"/>
        <v/>
      </c>
      <c r="G411" s="72" t="str" cm="1">
        <f t="array" ref="G411">IF(Kredyt1[[#This Row],[Data]]="","",WIBOR3M)</f>
        <v/>
      </c>
      <c r="H411" s="72" t="str" cm="1">
        <f t="array" ref="H411">IF(Kredyt1[[#This Row],[Data]]="","",G411+MarżaBAnku)</f>
        <v/>
      </c>
      <c r="I411" s="73" t="str">
        <f>IF(Kredyt1[[#This Row],[Data]]="","",Kredyt1[[#This Row],[Cała rata]]-Kredyt1[[#This Row],[Kapitał]])</f>
        <v/>
      </c>
      <c r="J411" s="74" t="str" cm="1">
        <f t="array" ref="J411">IFERROR(-PPMT(Kredyt1[[#This Row],[Oprocentowanie]]/12,Kredyt1[[#This Row],[Miesiąc kredytu]],IlośćRat,KwotaKredytu),"")</f>
        <v/>
      </c>
      <c r="K411" s="75" t="str" cm="1">
        <f t="array" ref="K411">IF(Kredyt1[[#This Row],[Miesiąc kredytu]]="","",-PMT(Kredyt1[[#This Row],[Oprocentowanie]]/12,IlośćRat,KwotaKredytu))</f>
        <v/>
      </c>
      <c r="L411" s="75">
        <v>0</v>
      </c>
      <c r="M411" s="76" t="str">
        <f>IFERROR(M410-J411-Kredyt1[[#This Row],[Nadpłata]],"")</f>
        <v/>
      </c>
    </row>
    <row r="412" spans="4:13">
      <c r="D412" s="70" t="str" cm="1">
        <f t="array" ref="D412">IF(ROW(407:407)&lt;=IlośćRat,ROW(407:407),"")</f>
        <v/>
      </c>
      <c r="E412" s="70" t="str">
        <f>IFERROR(ROUNDUP(Kredyt1[[#This Row],[Miesiąc kredytu]]/12,0),"")</f>
        <v/>
      </c>
      <c r="F412" s="71" t="str">
        <f t="shared" si="6"/>
        <v/>
      </c>
      <c r="G412" s="72" t="str" cm="1">
        <f t="array" ref="G412">IF(Kredyt1[[#This Row],[Data]]="","",WIBOR3M)</f>
        <v/>
      </c>
      <c r="H412" s="72" t="str" cm="1">
        <f t="array" ref="H412">IF(Kredyt1[[#This Row],[Data]]="","",G412+MarżaBAnku)</f>
        <v/>
      </c>
      <c r="I412" s="73" t="str">
        <f>IF(Kredyt1[[#This Row],[Data]]="","",Kredyt1[[#This Row],[Cała rata]]-Kredyt1[[#This Row],[Kapitał]])</f>
        <v/>
      </c>
      <c r="J412" s="74" t="str" cm="1">
        <f t="array" ref="J412">IFERROR(-PPMT(Kredyt1[[#This Row],[Oprocentowanie]]/12,Kredyt1[[#This Row],[Miesiąc kredytu]],IlośćRat,KwotaKredytu),"")</f>
        <v/>
      </c>
      <c r="K412" s="75" t="str" cm="1">
        <f t="array" ref="K412">IF(Kredyt1[[#This Row],[Miesiąc kredytu]]="","",-PMT(Kredyt1[[#This Row],[Oprocentowanie]]/12,IlośćRat,KwotaKredytu))</f>
        <v/>
      </c>
      <c r="L412" s="75">
        <v>0</v>
      </c>
      <c r="M412" s="76" t="str">
        <f>IFERROR(M411-J412-Kredyt1[[#This Row],[Nadpłata]],"")</f>
        <v/>
      </c>
    </row>
    <row r="413" spans="4:13">
      <c r="D413" s="70" t="str" cm="1">
        <f t="array" ref="D413">IF(ROW(408:408)&lt;=IlośćRat,ROW(408:408),"")</f>
        <v/>
      </c>
      <c r="E413" s="70" t="str">
        <f>IFERROR(ROUNDUP(Kredyt1[[#This Row],[Miesiąc kredytu]]/12,0),"")</f>
        <v/>
      </c>
      <c r="F413" s="71" t="str">
        <f t="shared" si="6"/>
        <v/>
      </c>
      <c r="G413" s="72" t="str" cm="1">
        <f t="array" ref="G413">IF(Kredyt1[[#This Row],[Data]]="","",WIBOR3M)</f>
        <v/>
      </c>
      <c r="H413" s="72" t="str" cm="1">
        <f t="array" ref="H413">IF(Kredyt1[[#This Row],[Data]]="","",G413+MarżaBAnku)</f>
        <v/>
      </c>
      <c r="I413" s="73" t="str">
        <f>IF(Kredyt1[[#This Row],[Data]]="","",Kredyt1[[#This Row],[Cała rata]]-Kredyt1[[#This Row],[Kapitał]])</f>
        <v/>
      </c>
      <c r="J413" s="74" t="str" cm="1">
        <f t="array" ref="J413">IFERROR(-PPMT(Kredyt1[[#This Row],[Oprocentowanie]]/12,Kredyt1[[#This Row],[Miesiąc kredytu]],IlośćRat,KwotaKredytu),"")</f>
        <v/>
      </c>
      <c r="K413" s="75" t="str" cm="1">
        <f t="array" ref="K413">IF(Kredyt1[[#This Row],[Miesiąc kredytu]]="","",-PMT(Kredyt1[[#This Row],[Oprocentowanie]]/12,IlośćRat,KwotaKredytu))</f>
        <v/>
      </c>
      <c r="L413" s="75">
        <v>0</v>
      </c>
      <c r="M413" s="76" t="str">
        <f>IFERROR(M412-J413-Kredyt1[[#This Row],[Nadpłata]],"")</f>
        <v/>
      </c>
    </row>
    <row r="414" spans="4:13">
      <c r="D414" s="70" t="str" cm="1">
        <f t="array" ref="D414">IF(ROW(409:409)&lt;=IlośćRat,ROW(409:409),"")</f>
        <v/>
      </c>
      <c r="E414" s="70" t="str">
        <f>IFERROR(ROUNDUP(Kredyt1[[#This Row],[Miesiąc kredytu]]/12,0),"")</f>
        <v/>
      </c>
      <c r="F414" s="71" t="str">
        <f t="shared" si="6"/>
        <v/>
      </c>
      <c r="G414" s="72" t="str" cm="1">
        <f t="array" ref="G414">IF(Kredyt1[[#This Row],[Data]]="","",WIBOR3M)</f>
        <v/>
      </c>
      <c r="H414" s="72" t="str" cm="1">
        <f t="array" ref="H414">IF(Kredyt1[[#This Row],[Data]]="","",G414+MarżaBAnku)</f>
        <v/>
      </c>
      <c r="I414" s="73" t="str">
        <f>IF(Kredyt1[[#This Row],[Data]]="","",Kredyt1[[#This Row],[Cała rata]]-Kredyt1[[#This Row],[Kapitał]])</f>
        <v/>
      </c>
      <c r="J414" s="74" t="str" cm="1">
        <f t="array" ref="J414">IFERROR(-PPMT(Kredyt1[[#This Row],[Oprocentowanie]]/12,Kredyt1[[#This Row],[Miesiąc kredytu]],IlośćRat,KwotaKredytu),"")</f>
        <v/>
      </c>
      <c r="K414" s="75" t="str" cm="1">
        <f t="array" ref="K414">IF(Kredyt1[[#This Row],[Miesiąc kredytu]]="","",-PMT(Kredyt1[[#This Row],[Oprocentowanie]]/12,IlośćRat,KwotaKredytu))</f>
        <v/>
      </c>
      <c r="L414" s="75">
        <v>0</v>
      </c>
      <c r="M414" s="76" t="str">
        <f>IFERROR(M413-J414-Kredyt1[[#This Row],[Nadpłata]],"")</f>
        <v/>
      </c>
    </row>
    <row r="415" spans="4:13">
      <c r="D415" s="70" t="str" cm="1">
        <f t="array" ref="D415">IF(ROW(410:410)&lt;=IlośćRat,ROW(410:410),"")</f>
        <v/>
      </c>
      <c r="E415" s="70" t="str">
        <f>IFERROR(ROUNDUP(Kredyt1[[#This Row],[Miesiąc kredytu]]/12,0),"")</f>
        <v/>
      </c>
      <c r="F415" s="71" t="str">
        <f t="shared" si="6"/>
        <v/>
      </c>
      <c r="G415" s="72" t="str" cm="1">
        <f t="array" ref="G415">IF(Kredyt1[[#This Row],[Data]]="","",WIBOR3M)</f>
        <v/>
      </c>
      <c r="H415" s="72" t="str" cm="1">
        <f t="array" ref="H415">IF(Kredyt1[[#This Row],[Data]]="","",G415+MarżaBAnku)</f>
        <v/>
      </c>
      <c r="I415" s="73" t="str">
        <f>IF(Kredyt1[[#This Row],[Data]]="","",Kredyt1[[#This Row],[Cała rata]]-Kredyt1[[#This Row],[Kapitał]])</f>
        <v/>
      </c>
      <c r="J415" s="74" t="str" cm="1">
        <f t="array" ref="J415">IFERROR(-PPMT(Kredyt1[[#This Row],[Oprocentowanie]]/12,Kredyt1[[#This Row],[Miesiąc kredytu]],IlośćRat,KwotaKredytu),"")</f>
        <v/>
      </c>
      <c r="K415" s="75" t="str" cm="1">
        <f t="array" ref="K415">IF(Kredyt1[[#This Row],[Miesiąc kredytu]]="","",-PMT(Kredyt1[[#This Row],[Oprocentowanie]]/12,IlośćRat,KwotaKredytu))</f>
        <v/>
      </c>
      <c r="L415" s="75">
        <v>0</v>
      </c>
      <c r="M415" s="76" t="str">
        <f>IFERROR(M414-J415-Kredyt1[[#This Row],[Nadpłata]],"")</f>
        <v/>
      </c>
    </row>
    <row r="416" spans="4:13">
      <c r="D416" s="70" t="str" cm="1">
        <f t="array" ref="D416">IF(ROW(411:411)&lt;=IlośćRat,ROW(411:411),"")</f>
        <v/>
      </c>
      <c r="E416" s="70" t="str">
        <f>IFERROR(ROUNDUP(Kredyt1[[#This Row],[Miesiąc kredytu]]/12,0),"")</f>
        <v/>
      </c>
      <c r="F416" s="71" t="str">
        <f t="shared" si="6"/>
        <v/>
      </c>
      <c r="G416" s="72" t="str" cm="1">
        <f t="array" ref="G416">IF(Kredyt1[[#This Row],[Data]]="","",WIBOR3M)</f>
        <v/>
      </c>
      <c r="H416" s="72" t="str" cm="1">
        <f t="array" ref="H416">IF(Kredyt1[[#This Row],[Data]]="","",G416+MarżaBAnku)</f>
        <v/>
      </c>
      <c r="I416" s="73" t="str">
        <f>IF(Kredyt1[[#This Row],[Data]]="","",Kredyt1[[#This Row],[Cała rata]]-Kredyt1[[#This Row],[Kapitał]])</f>
        <v/>
      </c>
      <c r="J416" s="74" t="str" cm="1">
        <f t="array" ref="J416">IFERROR(-PPMT(Kredyt1[[#This Row],[Oprocentowanie]]/12,Kredyt1[[#This Row],[Miesiąc kredytu]],IlośćRat,KwotaKredytu),"")</f>
        <v/>
      </c>
      <c r="K416" s="75" t="str" cm="1">
        <f t="array" ref="K416">IF(Kredyt1[[#This Row],[Miesiąc kredytu]]="","",-PMT(Kredyt1[[#This Row],[Oprocentowanie]]/12,IlośćRat,KwotaKredytu))</f>
        <v/>
      </c>
      <c r="L416" s="75">
        <v>0</v>
      </c>
      <c r="M416" s="76" t="str">
        <f>IFERROR(M415-J416-Kredyt1[[#This Row],[Nadpłata]],"")</f>
        <v/>
      </c>
    </row>
    <row r="417" spans="4:13">
      <c r="D417" s="70" t="str" cm="1">
        <f t="array" ref="D417">IF(ROW(412:412)&lt;=IlośćRat,ROW(412:412),"")</f>
        <v/>
      </c>
      <c r="E417" s="70" t="str">
        <f>IFERROR(ROUNDUP(Kredyt1[[#This Row],[Miesiąc kredytu]]/12,0),"")</f>
        <v/>
      </c>
      <c r="F417" s="71" t="str">
        <f t="shared" si="6"/>
        <v/>
      </c>
      <c r="G417" s="72" t="str" cm="1">
        <f t="array" ref="G417">IF(Kredyt1[[#This Row],[Data]]="","",WIBOR3M)</f>
        <v/>
      </c>
      <c r="H417" s="72" t="str" cm="1">
        <f t="array" ref="H417">IF(Kredyt1[[#This Row],[Data]]="","",G417+MarżaBAnku)</f>
        <v/>
      </c>
      <c r="I417" s="73" t="str">
        <f>IF(Kredyt1[[#This Row],[Data]]="","",Kredyt1[[#This Row],[Cała rata]]-Kredyt1[[#This Row],[Kapitał]])</f>
        <v/>
      </c>
      <c r="J417" s="74" t="str" cm="1">
        <f t="array" ref="J417">IFERROR(-PPMT(Kredyt1[[#This Row],[Oprocentowanie]]/12,Kredyt1[[#This Row],[Miesiąc kredytu]],IlośćRat,KwotaKredytu),"")</f>
        <v/>
      </c>
      <c r="K417" s="75" t="str" cm="1">
        <f t="array" ref="K417">IF(Kredyt1[[#This Row],[Miesiąc kredytu]]="","",-PMT(Kredyt1[[#This Row],[Oprocentowanie]]/12,IlośćRat,KwotaKredytu))</f>
        <v/>
      </c>
      <c r="L417" s="75">
        <v>0</v>
      </c>
      <c r="M417" s="76" t="str">
        <f>IFERROR(M416-J417-Kredyt1[[#This Row],[Nadpłata]],"")</f>
        <v/>
      </c>
    </row>
    <row r="418" spans="4:13">
      <c r="D418" s="70" t="str" cm="1">
        <f t="array" ref="D418">IF(ROW(413:413)&lt;=IlośćRat,ROW(413:413),"")</f>
        <v/>
      </c>
      <c r="E418" s="70" t="str">
        <f>IFERROR(ROUNDUP(Kredyt1[[#This Row],[Miesiąc kredytu]]/12,0),"")</f>
        <v/>
      </c>
      <c r="F418" s="71" t="str">
        <f t="shared" si="6"/>
        <v/>
      </c>
      <c r="G418" s="72" t="str" cm="1">
        <f t="array" ref="G418">IF(Kredyt1[[#This Row],[Data]]="","",WIBOR3M)</f>
        <v/>
      </c>
      <c r="H418" s="72" t="str" cm="1">
        <f t="array" ref="H418">IF(Kredyt1[[#This Row],[Data]]="","",G418+MarżaBAnku)</f>
        <v/>
      </c>
      <c r="I418" s="73" t="str">
        <f>IF(Kredyt1[[#This Row],[Data]]="","",Kredyt1[[#This Row],[Cała rata]]-Kredyt1[[#This Row],[Kapitał]])</f>
        <v/>
      </c>
      <c r="J418" s="74" t="str" cm="1">
        <f t="array" ref="J418">IFERROR(-PPMT(Kredyt1[[#This Row],[Oprocentowanie]]/12,Kredyt1[[#This Row],[Miesiąc kredytu]],IlośćRat,KwotaKredytu),"")</f>
        <v/>
      </c>
      <c r="K418" s="75" t="str" cm="1">
        <f t="array" ref="K418">IF(Kredyt1[[#This Row],[Miesiąc kredytu]]="","",-PMT(Kredyt1[[#This Row],[Oprocentowanie]]/12,IlośćRat,KwotaKredytu))</f>
        <v/>
      </c>
      <c r="L418" s="75">
        <v>0</v>
      </c>
      <c r="M418" s="76" t="str">
        <f>IFERROR(M417-J418-Kredyt1[[#This Row],[Nadpłata]],"")</f>
        <v/>
      </c>
    </row>
    <row r="419" spans="4:13">
      <c r="D419" s="70" t="str" cm="1">
        <f t="array" ref="D419">IF(ROW(414:414)&lt;=IlośćRat,ROW(414:414),"")</f>
        <v/>
      </c>
      <c r="E419" s="70" t="str">
        <f>IFERROR(ROUNDUP(Kredyt1[[#This Row],[Miesiąc kredytu]]/12,0),"")</f>
        <v/>
      </c>
      <c r="F419" s="71" t="str">
        <f t="shared" si="6"/>
        <v/>
      </c>
      <c r="G419" s="72" t="str" cm="1">
        <f t="array" ref="G419">IF(Kredyt1[[#This Row],[Data]]="","",WIBOR3M)</f>
        <v/>
      </c>
      <c r="H419" s="72" t="str" cm="1">
        <f t="array" ref="H419">IF(Kredyt1[[#This Row],[Data]]="","",G419+MarżaBAnku)</f>
        <v/>
      </c>
      <c r="I419" s="73" t="str">
        <f>IF(Kredyt1[[#This Row],[Data]]="","",Kredyt1[[#This Row],[Cała rata]]-Kredyt1[[#This Row],[Kapitał]])</f>
        <v/>
      </c>
      <c r="J419" s="74" t="str" cm="1">
        <f t="array" ref="J419">IFERROR(-PPMT(Kredyt1[[#This Row],[Oprocentowanie]]/12,Kredyt1[[#This Row],[Miesiąc kredytu]],IlośćRat,KwotaKredytu),"")</f>
        <v/>
      </c>
      <c r="K419" s="75" t="str" cm="1">
        <f t="array" ref="K419">IF(Kredyt1[[#This Row],[Miesiąc kredytu]]="","",-PMT(Kredyt1[[#This Row],[Oprocentowanie]]/12,IlośćRat,KwotaKredytu))</f>
        <v/>
      </c>
      <c r="L419" s="75">
        <v>0</v>
      </c>
      <c r="M419" s="76" t="str">
        <f>IFERROR(M418-J419-Kredyt1[[#This Row],[Nadpłata]],"")</f>
        <v/>
      </c>
    </row>
    <row r="420" spans="4:13">
      <c r="D420" s="70" t="str" cm="1">
        <f t="array" ref="D420">IF(ROW(415:415)&lt;=IlośćRat,ROW(415:415),"")</f>
        <v/>
      </c>
      <c r="E420" s="70" t="str">
        <f>IFERROR(ROUNDUP(Kredyt1[[#This Row],[Miesiąc kredytu]]/12,0),"")</f>
        <v/>
      </c>
      <c r="F420" s="71" t="str">
        <f t="shared" si="6"/>
        <v/>
      </c>
      <c r="G420" s="72" t="str" cm="1">
        <f t="array" ref="G420">IF(Kredyt1[[#This Row],[Data]]="","",WIBOR3M)</f>
        <v/>
      </c>
      <c r="H420" s="72" t="str" cm="1">
        <f t="array" ref="H420">IF(Kredyt1[[#This Row],[Data]]="","",G420+MarżaBAnku)</f>
        <v/>
      </c>
      <c r="I420" s="73" t="str">
        <f>IF(Kredyt1[[#This Row],[Data]]="","",Kredyt1[[#This Row],[Cała rata]]-Kredyt1[[#This Row],[Kapitał]])</f>
        <v/>
      </c>
      <c r="J420" s="74" t="str" cm="1">
        <f t="array" ref="J420">IFERROR(-PPMT(Kredyt1[[#This Row],[Oprocentowanie]]/12,Kredyt1[[#This Row],[Miesiąc kredytu]],IlośćRat,KwotaKredytu),"")</f>
        <v/>
      </c>
      <c r="K420" s="75" t="str" cm="1">
        <f t="array" ref="K420">IF(Kredyt1[[#This Row],[Miesiąc kredytu]]="","",-PMT(Kredyt1[[#This Row],[Oprocentowanie]]/12,IlośćRat,KwotaKredytu))</f>
        <v/>
      </c>
      <c r="L420" s="75">
        <v>0</v>
      </c>
      <c r="M420" s="76" t="str">
        <f>IFERROR(M419-J420-Kredyt1[[#This Row],[Nadpłata]],"")</f>
        <v/>
      </c>
    </row>
    <row r="421" spans="4:13">
      <c r="D421" s="70" t="str" cm="1">
        <f t="array" ref="D421">IF(ROW(416:416)&lt;=IlośćRat,ROW(416:416),"")</f>
        <v/>
      </c>
      <c r="E421" s="70" t="str">
        <f>IFERROR(ROUNDUP(Kredyt1[[#This Row],[Miesiąc kredytu]]/12,0),"")</f>
        <v/>
      </c>
      <c r="F421" s="71" t="str">
        <f t="shared" si="6"/>
        <v/>
      </c>
      <c r="G421" s="72" t="str" cm="1">
        <f t="array" ref="G421">IF(Kredyt1[[#This Row],[Data]]="","",WIBOR3M)</f>
        <v/>
      </c>
      <c r="H421" s="72" t="str" cm="1">
        <f t="array" ref="H421">IF(Kredyt1[[#This Row],[Data]]="","",G421+MarżaBAnku)</f>
        <v/>
      </c>
      <c r="I421" s="73" t="str">
        <f>IF(Kredyt1[[#This Row],[Data]]="","",Kredyt1[[#This Row],[Cała rata]]-Kredyt1[[#This Row],[Kapitał]])</f>
        <v/>
      </c>
      <c r="J421" s="74" t="str" cm="1">
        <f t="array" ref="J421">IFERROR(-PPMT(Kredyt1[[#This Row],[Oprocentowanie]]/12,Kredyt1[[#This Row],[Miesiąc kredytu]],IlośćRat,KwotaKredytu),"")</f>
        <v/>
      </c>
      <c r="K421" s="75" t="str" cm="1">
        <f t="array" ref="K421">IF(Kredyt1[[#This Row],[Miesiąc kredytu]]="","",-PMT(Kredyt1[[#This Row],[Oprocentowanie]]/12,IlośćRat,KwotaKredytu))</f>
        <v/>
      </c>
      <c r="L421" s="75">
        <v>0</v>
      </c>
      <c r="M421" s="76" t="str">
        <f>IFERROR(M420-J421-Kredyt1[[#This Row],[Nadpłata]],"")</f>
        <v/>
      </c>
    </row>
    <row r="422" spans="4:13">
      <c r="D422" s="70" t="str" cm="1">
        <f t="array" ref="D422">IF(ROW(417:417)&lt;=IlośćRat,ROW(417:417),"")</f>
        <v/>
      </c>
      <c r="E422" s="70" t="str">
        <f>IFERROR(ROUNDUP(Kredyt1[[#This Row],[Miesiąc kredytu]]/12,0),"")</f>
        <v/>
      </c>
      <c r="F422" s="71" t="str">
        <f t="shared" si="6"/>
        <v/>
      </c>
      <c r="G422" s="72" t="str" cm="1">
        <f t="array" ref="G422">IF(Kredyt1[[#This Row],[Data]]="","",WIBOR3M)</f>
        <v/>
      </c>
      <c r="H422" s="72" t="str" cm="1">
        <f t="array" ref="H422">IF(Kredyt1[[#This Row],[Data]]="","",G422+MarżaBAnku)</f>
        <v/>
      </c>
      <c r="I422" s="73" t="str">
        <f>IF(Kredyt1[[#This Row],[Data]]="","",Kredyt1[[#This Row],[Cała rata]]-Kredyt1[[#This Row],[Kapitał]])</f>
        <v/>
      </c>
      <c r="J422" s="74" t="str" cm="1">
        <f t="array" ref="J422">IFERROR(-PPMT(Kredyt1[[#This Row],[Oprocentowanie]]/12,Kredyt1[[#This Row],[Miesiąc kredytu]],IlośćRat,KwotaKredytu),"")</f>
        <v/>
      </c>
      <c r="K422" s="75" t="str" cm="1">
        <f t="array" ref="K422">IF(Kredyt1[[#This Row],[Miesiąc kredytu]]="","",-PMT(Kredyt1[[#This Row],[Oprocentowanie]]/12,IlośćRat,KwotaKredytu))</f>
        <v/>
      </c>
      <c r="L422" s="75">
        <v>0</v>
      </c>
      <c r="M422" s="76" t="str">
        <f>IFERROR(M421-J422-Kredyt1[[#This Row],[Nadpłata]],"")</f>
        <v/>
      </c>
    </row>
    <row r="423" spans="4:13">
      <c r="D423" s="70" t="str" cm="1">
        <f t="array" ref="D423">IF(ROW(418:418)&lt;=IlośćRat,ROW(418:418),"")</f>
        <v/>
      </c>
      <c r="E423" s="70" t="str">
        <f>IFERROR(ROUNDUP(Kredyt1[[#This Row],[Miesiąc kredytu]]/12,0),"")</f>
        <v/>
      </c>
      <c r="F423" s="71" t="str">
        <f t="shared" si="6"/>
        <v/>
      </c>
      <c r="G423" s="72" t="str" cm="1">
        <f t="array" ref="G423">IF(Kredyt1[[#This Row],[Data]]="","",WIBOR3M)</f>
        <v/>
      </c>
      <c r="H423" s="72" t="str" cm="1">
        <f t="array" ref="H423">IF(Kredyt1[[#This Row],[Data]]="","",G423+MarżaBAnku)</f>
        <v/>
      </c>
      <c r="I423" s="73" t="str">
        <f>IF(Kredyt1[[#This Row],[Data]]="","",Kredyt1[[#This Row],[Cała rata]]-Kredyt1[[#This Row],[Kapitał]])</f>
        <v/>
      </c>
      <c r="J423" s="74" t="str" cm="1">
        <f t="array" ref="J423">IFERROR(-PPMT(Kredyt1[[#This Row],[Oprocentowanie]]/12,Kredyt1[[#This Row],[Miesiąc kredytu]],IlośćRat,KwotaKredytu),"")</f>
        <v/>
      </c>
      <c r="K423" s="75" t="str" cm="1">
        <f t="array" ref="K423">IF(Kredyt1[[#This Row],[Miesiąc kredytu]]="","",-PMT(Kredyt1[[#This Row],[Oprocentowanie]]/12,IlośćRat,KwotaKredytu))</f>
        <v/>
      </c>
      <c r="L423" s="75">
        <v>0</v>
      </c>
      <c r="M423" s="76" t="str">
        <f>IFERROR(M422-J423-Kredyt1[[#This Row],[Nadpłata]],"")</f>
        <v/>
      </c>
    </row>
    <row r="424" spans="4:13">
      <c r="D424" s="70" t="str" cm="1">
        <f t="array" ref="D424">IF(ROW(419:419)&lt;=IlośćRat,ROW(419:419),"")</f>
        <v/>
      </c>
      <c r="E424" s="70" t="str">
        <f>IFERROR(ROUNDUP(Kredyt1[[#This Row],[Miesiąc kredytu]]/12,0),"")</f>
        <v/>
      </c>
      <c r="F424" s="71" t="str">
        <f t="shared" si="6"/>
        <v/>
      </c>
      <c r="G424" s="72" t="str" cm="1">
        <f t="array" ref="G424">IF(Kredyt1[[#This Row],[Data]]="","",WIBOR3M)</f>
        <v/>
      </c>
      <c r="H424" s="72" t="str" cm="1">
        <f t="array" ref="H424">IF(Kredyt1[[#This Row],[Data]]="","",G424+MarżaBAnku)</f>
        <v/>
      </c>
      <c r="I424" s="73" t="str">
        <f>IF(Kredyt1[[#This Row],[Data]]="","",Kredyt1[[#This Row],[Cała rata]]-Kredyt1[[#This Row],[Kapitał]])</f>
        <v/>
      </c>
      <c r="J424" s="74" t="str" cm="1">
        <f t="array" ref="J424">IFERROR(-PPMT(Kredyt1[[#This Row],[Oprocentowanie]]/12,Kredyt1[[#This Row],[Miesiąc kredytu]],IlośćRat,KwotaKredytu),"")</f>
        <v/>
      </c>
      <c r="K424" s="75" t="str" cm="1">
        <f t="array" ref="K424">IF(Kredyt1[[#This Row],[Miesiąc kredytu]]="","",-PMT(Kredyt1[[#This Row],[Oprocentowanie]]/12,IlośćRat,KwotaKredytu))</f>
        <v/>
      </c>
      <c r="L424" s="75">
        <v>0</v>
      </c>
      <c r="M424" s="76" t="str">
        <f>IFERROR(M423-J424-Kredyt1[[#This Row],[Nadpłata]],"")</f>
        <v/>
      </c>
    </row>
    <row r="425" spans="4:13">
      <c r="D425" s="70" t="str" cm="1">
        <f t="array" ref="D425">IF(ROW(420:420)&lt;=IlośćRat,ROW(420:420),"")</f>
        <v/>
      </c>
      <c r="E425" s="70" t="str">
        <f>IFERROR(ROUNDUP(Kredyt1[[#This Row],[Miesiąc kredytu]]/12,0),"")</f>
        <v/>
      </c>
      <c r="F425" s="71" t="str">
        <f t="shared" si="6"/>
        <v/>
      </c>
      <c r="G425" s="72" t="str" cm="1">
        <f t="array" ref="G425">IF(Kredyt1[[#This Row],[Data]]="","",WIBOR3M)</f>
        <v/>
      </c>
      <c r="H425" s="72" t="str" cm="1">
        <f t="array" ref="H425">IF(Kredyt1[[#This Row],[Data]]="","",G425+MarżaBAnku)</f>
        <v/>
      </c>
      <c r="I425" s="73" t="str">
        <f>IF(Kredyt1[[#This Row],[Data]]="","",Kredyt1[[#This Row],[Cała rata]]-Kredyt1[[#This Row],[Kapitał]])</f>
        <v/>
      </c>
      <c r="J425" s="74" t="str" cm="1">
        <f t="array" ref="J425">IFERROR(-PPMT(Kredyt1[[#This Row],[Oprocentowanie]]/12,Kredyt1[[#This Row],[Miesiąc kredytu]],IlośćRat,KwotaKredytu),"")</f>
        <v/>
      </c>
      <c r="K425" s="75" t="str" cm="1">
        <f t="array" ref="K425">IF(Kredyt1[[#This Row],[Miesiąc kredytu]]="","",-PMT(Kredyt1[[#This Row],[Oprocentowanie]]/12,IlośćRat,KwotaKredytu))</f>
        <v/>
      </c>
      <c r="L425" s="75">
        <v>0</v>
      </c>
      <c r="M425" s="76" t="str">
        <f>IFERROR(M424-J425-Kredyt1[[#This Row],[Nadpłata]],"")</f>
        <v/>
      </c>
    </row>
    <row r="426" spans="4:13">
      <c r="D426" s="70" t="str" cm="1">
        <f t="array" ref="D426">IF(ROW(421:421)&lt;=IlośćRat,ROW(421:421),"")</f>
        <v/>
      </c>
      <c r="E426" s="70" t="str">
        <f>IFERROR(ROUNDUP(Kredyt1[[#This Row],[Miesiąc kredytu]]/12,0),"")</f>
        <v/>
      </c>
      <c r="F426" s="71" t="str">
        <f t="shared" si="6"/>
        <v/>
      </c>
      <c r="G426" s="72" t="str" cm="1">
        <f t="array" ref="G426">IF(Kredyt1[[#This Row],[Data]]="","",WIBOR3M)</f>
        <v/>
      </c>
      <c r="H426" s="72" t="str" cm="1">
        <f t="array" ref="H426">IF(Kredyt1[[#This Row],[Data]]="","",G426+MarżaBAnku)</f>
        <v/>
      </c>
      <c r="I426" s="73" t="str">
        <f>IF(Kredyt1[[#This Row],[Data]]="","",Kredyt1[[#This Row],[Cała rata]]-Kredyt1[[#This Row],[Kapitał]])</f>
        <v/>
      </c>
      <c r="J426" s="74" t="str" cm="1">
        <f t="array" ref="J426">IFERROR(-PPMT(Kredyt1[[#This Row],[Oprocentowanie]]/12,Kredyt1[[#This Row],[Miesiąc kredytu]],IlośćRat,KwotaKredytu),"")</f>
        <v/>
      </c>
      <c r="K426" s="75" t="str" cm="1">
        <f t="array" ref="K426">IF(Kredyt1[[#This Row],[Miesiąc kredytu]]="","",-PMT(Kredyt1[[#This Row],[Oprocentowanie]]/12,IlośćRat,KwotaKredytu))</f>
        <v/>
      </c>
      <c r="L426" s="75">
        <v>0</v>
      </c>
      <c r="M426" s="76" t="str">
        <f>IFERROR(M425-J426-Kredyt1[[#This Row],[Nadpłata]],"")</f>
        <v/>
      </c>
    </row>
    <row r="427" spans="4:13">
      <c r="D427" s="70" t="str" cm="1">
        <f t="array" ref="D427">IF(ROW(422:422)&lt;=IlośćRat,ROW(422:422),"")</f>
        <v/>
      </c>
      <c r="E427" s="70" t="str">
        <f>IFERROR(ROUNDUP(Kredyt1[[#This Row],[Miesiąc kredytu]]/12,0),"")</f>
        <v/>
      </c>
      <c r="F427" s="71" t="str">
        <f t="shared" si="6"/>
        <v/>
      </c>
      <c r="G427" s="72" t="str" cm="1">
        <f t="array" ref="G427">IF(Kredyt1[[#This Row],[Data]]="","",WIBOR3M)</f>
        <v/>
      </c>
      <c r="H427" s="72" t="str" cm="1">
        <f t="array" ref="H427">IF(Kredyt1[[#This Row],[Data]]="","",G427+MarżaBAnku)</f>
        <v/>
      </c>
      <c r="I427" s="73" t="str">
        <f>IF(Kredyt1[[#This Row],[Data]]="","",Kredyt1[[#This Row],[Cała rata]]-Kredyt1[[#This Row],[Kapitał]])</f>
        <v/>
      </c>
      <c r="J427" s="74" t="str" cm="1">
        <f t="array" ref="J427">IFERROR(-PPMT(Kredyt1[[#This Row],[Oprocentowanie]]/12,Kredyt1[[#This Row],[Miesiąc kredytu]],IlośćRat,KwotaKredytu),"")</f>
        <v/>
      </c>
      <c r="K427" s="75" t="str" cm="1">
        <f t="array" ref="K427">IF(Kredyt1[[#This Row],[Miesiąc kredytu]]="","",-PMT(Kredyt1[[#This Row],[Oprocentowanie]]/12,IlośćRat,KwotaKredytu))</f>
        <v/>
      </c>
      <c r="L427" s="75">
        <v>0</v>
      </c>
      <c r="M427" s="76" t="str">
        <f>IFERROR(M426-J427-Kredyt1[[#This Row],[Nadpłata]],"")</f>
        <v/>
      </c>
    </row>
    <row r="428" spans="4:13">
      <c r="D428" s="70" t="str" cm="1">
        <f t="array" ref="D428">IF(ROW(423:423)&lt;=IlośćRat,ROW(423:423),"")</f>
        <v/>
      </c>
      <c r="E428" s="70" t="str">
        <f>IFERROR(ROUNDUP(Kredyt1[[#This Row],[Miesiąc kredytu]]/12,0),"")</f>
        <v/>
      </c>
      <c r="F428" s="71" t="str">
        <f t="shared" si="6"/>
        <v/>
      </c>
      <c r="G428" s="72" t="str" cm="1">
        <f t="array" ref="G428">IF(Kredyt1[[#This Row],[Data]]="","",WIBOR3M)</f>
        <v/>
      </c>
      <c r="H428" s="72" t="str" cm="1">
        <f t="array" ref="H428">IF(Kredyt1[[#This Row],[Data]]="","",G428+MarżaBAnku)</f>
        <v/>
      </c>
      <c r="I428" s="73" t="str">
        <f>IF(Kredyt1[[#This Row],[Data]]="","",Kredyt1[[#This Row],[Cała rata]]-Kredyt1[[#This Row],[Kapitał]])</f>
        <v/>
      </c>
      <c r="J428" s="74" t="str" cm="1">
        <f t="array" ref="J428">IFERROR(-PPMT(Kredyt1[[#This Row],[Oprocentowanie]]/12,Kredyt1[[#This Row],[Miesiąc kredytu]],IlośćRat,KwotaKredytu),"")</f>
        <v/>
      </c>
      <c r="K428" s="75" t="str" cm="1">
        <f t="array" ref="K428">IF(Kredyt1[[#This Row],[Miesiąc kredytu]]="","",-PMT(Kredyt1[[#This Row],[Oprocentowanie]]/12,IlośćRat,KwotaKredytu))</f>
        <v/>
      </c>
      <c r="L428" s="75">
        <v>0</v>
      </c>
      <c r="M428" s="76" t="str">
        <f>IFERROR(M427-J428-Kredyt1[[#This Row],[Nadpłata]],"")</f>
        <v/>
      </c>
    </row>
    <row r="429" spans="4:13">
      <c r="D429" s="70" t="str" cm="1">
        <f t="array" ref="D429">IF(ROW(424:424)&lt;=IlośćRat,ROW(424:424),"")</f>
        <v/>
      </c>
      <c r="E429" s="70" t="str">
        <f>IFERROR(ROUNDUP(Kredyt1[[#This Row],[Miesiąc kredytu]]/12,0),"")</f>
        <v/>
      </c>
      <c r="F429" s="71" t="str">
        <f t="shared" si="6"/>
        <v/>
      </c>
      <c r="G429" s="72" t="str" cm="1">
        <f t="array" ref="G429">IF(Kredyt1[[#This Row],[Data]]="","",WIBOR3M)</f>
        <v/>
      </c>
      <c r="H429" s="72" t="str" cm="1">
        <f t="array" ref="H429">IF(Kredyt1[[#This Row],[Data]]="","",G429+MarżaBAnku)</f>
        <v/>
      </c>
      <c r="I429" s="73" t="str">
        <f>IF(Kredyt1[[#This Row],[Data]]="","",Kredyt1[[#This Row],[Cała rata]]-Kredyt1[[#This Row],[Kapitał]])</f>
        <v/>
      </c>
      <c r="J429" s="74" t="str" cm="1">
        <f t="array" ref="J429">IFERROR(-PPMT(Kredyt1[[#This Row],[Oprocentowanie]]/12,Kredyt1[[#This Row],[Miesiąc kredytu]],IlośćRat,KwotaKredytu),"")</f>
        <v/>
      </c>
      <c r="K429" s="75" t="str" cm="1">
        <f t="array" ref="K429">IF(Kredyt1[[#This Row],[Miesiąc kredytu]]="","",-PMT(Kredyt1[[#This Row],[Oprocentowanie]]/12,IlośćRat,KwotaKredytu))</f>
        <v/>
      </c>
      <c r="L429" s="75">
        <v>0</v>
      </c>
      <c r="M429" s="76" t="str">
        <f>IFERROR(M428-J429-Kredyt1[[#This Row],[Nadpłata]],"")</f>
        <v/>
      </c>
    </row>
    <row r="430" spans="4:13">
      <c r="D430" s="70" t="str" cm="1">
        <f t="array" ref="D430">IF(ROW(425:425)&lt;=IlośćRat,ROW(425:425),"")</f>
        <v/>
      </c>
      <c r="E430" s="70" t="str">
        <f>IFERROR(ROUNDUP(Kredyt1[[#This Row],[Miesiąc kredytu]]/12,0),"")</f>
        <v/>
      </c>
      <c r="F430" s="71" t="str">
        <f t="shared" si="6"/>
        <v/>
      </c>
      <c r="G430" s="72" t="str" cm="1">
        <f t="array" ref="G430">IF(Kredyt1[[#This Row],[Data]]="","",WIBOR3M)</f>
        <v/>
      </c>
      <c r="H430" s="72" t="str" cm="1">
        <f t="array" ref="H430">IF(Kredyt1[[#This Row],[Data]]="","",G430+MarżaBAnku)</f>
        <v/>
      </c>
      <c r="I430" s="73" t="str">
        <f>IF(Kredyt1[[#This Row],[Data]]="","",Kredyt1[[#This Row],[Cała rata]]-Kredyt1[[#This Row],[Kapitał]])</f>
        <v/>
      </c>
      <c r="J430" s="74" t="str" cm="1">
        <f t="array" ref="J430">IFERROR(-PPMT(Kredyt1[[#This Row],[Oprocentowanie]]/12,Kredyt1[[#This Row],[Miesiąc kredytu]],IlośćRat,KwotaKredytu),"")</f>
        <v/>
      </c>
      <c r="K430" s="75" t="str" cm="1">
        <f t="array" ref="K430">IF(Kredyt1[[#This Row],[Miesiąc kredytu]]="","",-PMT(Kredyt1[[#This Row],[Oprocentowanie]]/12,IlośćRat,KwotaKredytu))</f>
        <v/>
      </c>
      <c r="L430" s="75">
        <v>0</v>
      </c>
      <c r="M430" s="76" t="str">
        <f>IFERROR(M429-J430-Kredyt1[[#This Row],[Nadpłata]],"")</f>
        <v/>
      </c>
    </row>
    <row r="431" spans="4:13">
      <c r="D431" s="70" t="str" cm="1">
        <f t="array" ref="D431">IF(ROW(426:426)&lt;=IlośćRat,ROW(426:426),"")</f>
        <v/>
      </c>
      <c r="E431" s="70" t="str">
        <f>IFERROR(ROUNDUP(Kredyt1[[#This Row],[Miesiąc kredytu]]/12,0),"")</f>
        <v/>
      </c>
      <c r="F431" s="71" t="str">
        <f t="shared" si="6"/>
        <v/>
      </c>
      <c r="G431" s="72" t="str" cm="1">
        <f t="array" ref="G431">IF(Kredyt1[[#This Row],[Data]]="","",WIBOR3M)</f>
        <v/>
      </c>
      <c r="H431" s="72" t="str" cm="1">
        <f t="array" ref="H431">IF(Kredyt1[[#This Row],[Data]]="","",G431+MarżaBAnku)</f>
        <v/>
      </c>
      <c r="I431" s="73" t="str">
        <f>IF(Kredyt1[[#This Row],[Data]]="","",Kredyt1[[#This Row],[Cała rata]]-Kredyt1[[#This Row],[Kapitał]])</f>
        <v/>
      </c>
      <c r="J431" s="74" t="str" cm="1">
        <f t="array" ref="J431">IFERROR(-PPMT(Kredyt1[[#This Row],[Oprocentowanie]]/12,Kredyt1[[#This Row],[Miesiąc kredytu]],IlośćRat,KwotaKredytu),"")</f>
        <v/>
      </c>
      <c r="K431" s="75" t="str" cm="1">
        <f t="array" ref="K431">IF(Kredyt1[[#This Row],[Miesiąc kredytu]]="","",-PMT(Kredyt1[[#This Row],[Oprocentowanie]]/12,IlośćRat,KwotaKredytu))</f>
        <v/>
      </c>
      <c r="L431" s="75">
        <v>0</v>
      </c>
      <c r="M431" s="76" t="str">
        <f>IFERROR(M430-J431-Kredyt1[[#This Row],[Nadpłata]],"")</f>
        <v/>
      </c>
    </row>
    <row r="432" spans="4:13">
      <c r="D432" s="70" t="str" cm="1">
        <f t="array" ref="D432">IF(ROW(427:427)&lt;=IlośćRat,ROW(427:427),"")</f>
        <v/>
      </c>
      <c r="E432" s="70" t="str">
        <f>IFERROR(ROUNDUP(Kredyt1[[#This Row],[Miesiąc kredytu]]/12,0),"")</f>
        <v/>
      </c>
      <c r="F432" s="71" t="str">
        <f t="shared" si="6"/>
        <v/>
      </c>
      <c r="G432" s="72" t="str" cm="1">
        <f t="array" ref="G432">IF(Kredyt1[[#This Row],[Data]]="","",WIBOR3M)</f>
        <v/>
      </c>
      <c r="H432" s="72" t="str" cm="1">
        <f t="array" ref="H432">IF(Kredyt1[[#This Row],[Data]]="","",G432+MarżaBAnku)</f>
        <v/>
      </c>
      <c r="I432" s="73" t="str">
        <f>IF(Kredyt1[[#This Row],[Data]]="","",Kredyt1[[#This Row],[Cała rata]]-Kredyt1[[#This Row],[Kapitał]])</f>
        <v/>
      </c>
      <c r="J432" s="74" t="str" cm="1">
        <f t="array" ref="J432">IFERROR(-PPMT(Kredyt1[[#This Row],[Oprocentowanie]]/12,Kredyt1[[#This Row],[Miesiąc kredytu]],IlośćRat,KwotaKredytu),"")</f>
        <v/>
      </c>
      <c r="K432" s="75" t="str" cm="1">
        <f t="array" ref="K432">IF(Kredyt1[[#This Row],[Miesiąc kredytu]]="","",-PMT(Kredyt1[[#This Row],[Oprocentowanie]]/12,IlośćRat,KwotaKredytu))</f>
        <v/>
      </c>
      <c r="L432" s="75">
        <v>0</v>
      </c>
      <c r="M432" s="76" t="str">
        <f>IFERROR(M431-J432-Kredyt1[[#This Row],[Nadpłata]],"")</f>
        <v/>
      </c>
    </row>
    <row r="433" spans="4:13">
      <c r="D433" s="70" t="str" cm="1">
        <f t="array" ref="D433">IF(ROW(428:428)&lt;=IlośćRat,ROW(428:428),"")</f>
        <v/>
      </c>
      <c r="E433" s="70" t="str">
        <f>IFERROR(ROUNDUP(Kredyt1[[#This Row],[Miesiąc kredytu]]/12,0),"")</f>
        <v/>
      </c>
      <c r="F433" s="71" t="str">
        <f t="shared" si="6"/>
        <v/>
      </c>
      <c r="G433" s="72" t="str" cm="1">
        <f t="array" ref="G433">IF(Kredyt1[[#This Row],[Data]]="","",WIBOR3M)</f>
        <v/>
      </c>
      <c r="H433" s="72" t="str" cm="1">
        <f t="array" ref="H433">IF(Kredyt1[[#This Row],[Data]]="","",G433+MarżaBAnku)</f>
        <v/>
      </c>
      <c r="I433" s="73" t="str">
        <f>IF(Kredyt1[[#This Row],[Data]]="","",Kredyt1[[#This Row],[Cała rata]]-Kredyt1[[#This Row],[Kapitał]])</f>
        <v/>
      </c>
      <c r="J433" s="74" t="str" cm="1">
        <f t="array" ref="J433">IFERROR(-PPMT(Kredyt1[[#This Row],[Oprocentowanie]]/12,Kredyt1[[#This Row],[Miesiąc kredytu]],IlośćRat,KwotaKredytu),"")</f>
        <v/>
      </c>
      <c r="K433" s="75" t="str" cm="1">
        <f t="array" ref="K433">IF(Kredyt1[[#This Row],[Miesiąc kredytu]]="","",-PMT(Kredyt1[[#This Row],[Oprocentowanie]]/12,IlośćRat,KwotaKredytu))</f>
        <v/>
      </c>
      <c r="L433" s="75">
        <v>0</v>
      </c>
      <c r="M433" s="76" t="str">
        <f>IFERROR(M432-J433-Kredyt1[[#This Row],[Nadpłata]],"")</f>
        <v/>
      </c>
    </row>
    <row r="434" spans="4:13">
      <c r="D434" s="70" t="str" cm="1">
        <f t="array" ref="D434">IF(ROW(429:429)&lt;=IlośćRat,ROW(429:429),"")</f>
        <v/>
      </c>
      <c r="E434" s="70" t="str">
        <f>IFERROR(ROUNDUP(Kredyt1[[#This Row],[Miesiąc kredytu]]/12,0),"")</f>
        <v/>
      </c>
      <c r="F434" s="71" t="str">
        <f t="shared" si="6"/>
        <v/>
      </c>
      <c r="G434" s="72" t="str" cm="1">
        <f t="array" ref="G434">IF(Kredyt1[[#This Row],[Data]]="","",WIBOR3M)</f>
        <v/>
      </c>
      <c r="H434" s="72" t="str" cm="1">
        <f t="array" ref="H434">IF(Kredyt1[[#This Row],[Data]]="","",G434+MarżaBAnku)</f>
        <v/>
      </c>
      <c r="I434" s="73" t="str">
        <f>IF(Kredyt1[[#This Row],[Data]]="","",Kredyt1[[#This Row],[Cała rata]]-Kredyt1[[#This Row],[Kapitał]])</f>
        <v/>
      </c>
      <c r="J434" s="74" t="str" cm="1">
        <f t="array" ref="J434">IFERROR(-PPMT(Kredyt1[[#This Row],[Oprocentowanie]]/12,Kredyt1[[#This Row],[Miesiąc kredytu]],IlośćRat,KwotaKredytu),"")</f>
        <v/>
      </c>
      <c r="K434" s="75" t="str" cm="1">
        <f t="array" ref="K434">IF(Kredyt1[[#This Row],[Miesiąc kredytu]]="","",-PMT(Kredyt1[[#This Row],[Oprocentowanie]]/12,IlośćRat,KwotaKredytu))</f>
        <v/>
      </c>
      <c r="L434" s="75">
        <v>0</v>
      </c>
      <c r="M434" s="76" t="str">
        <f>IFERROR(M433-J434-Kredyt1[[#This Row],[Nadpłata]],"")</f>
        <v/>
      </c>
    </row>
    <row r="435" spans="4:13">
      <c r="D435" s="70" t="str" cm="1">
        <f t="array" ref="D435">IF(ROW(430:430)&lt;=IlośćRat,ROW(430:430),"")</f>
        <v/>
      </c>
      <c r="E435" s="70" t="str">
        <f>IFERROR(ROUNDUP(Kredyt1[[#This Row],[Miesiąc kredytu]]/12,0),"")</f>
        <v/>
      </c>
      <c r="F435" s="71" t="str">
        <f t="shared" si="6"/>
        <v/>
      </c>
      <c r="G435" s="72" t="str" cm="1">
        <f t="array" ref="G435">IF(Kredyt1[[#This Row],[Data]]="","",WIBOR3M)</f>
        <v/>
      </c>
      <c r="H435" s="72" t="str" cm="1">
        <f t="array" ref="H435">IF(Kredyt1[[#This Row],[Data]]="","",G435+MarżaBAnku)</f>
        <v/>
      </c>
      <c r="I435" s="73" t="str">
        <f>IF(Kredyt1[[#This Row],[Data]]="","",Kredyt1[[#This Row],[Cała rata]]-Kredyt1[[#This Row],[Kapitał]])</f>
        <v/>
      </c>
      <c r="J435" s="74" t="str" cm="1">
        <f t="array" ref="J435">IFERROR(-PPMT(Kredyt1[[#This Row],[Oprocentowanie]]/12,Kredyt1[[#This Row],[Miesiąc kredytu]],IlośćRat,KwotaKredytu),"")</f>
        <v/>
      </c>
      <c r="K435" s="75" t="str" cm="1">
        <f t="array" ref="K435">IF(Kredyt1[[#This Row],[Miesiąc kredytu]]="","",-PMT(Kredyt1[[#This Row],[Oprocentowanie]]/12,IlośćRat,KwotaKredytu))</f>
        <v/>
      </c>
      <c r="L435" s="75">
        <v>0</v>
      </c>
      <c r="M435" s="76" t="str">
        <f>IFERROR(M434-J435-Kredyt1[[#This Row],[Nadpłata]],"")</f>
        <v/>
      </c>
    </row>
    <row r="436" spans="4:13">
      <c r="D436" s="70" t="str" cm="1">
        <f t="array" ref="D436">IF(ROW(431:431)&lt;=IlośćRat,ROW(431:431),"")</f>
        <v/>
      </c>
      <c r="E436" s="70" t="str">
        <f>IFERROR(ROUNDUP(Kredyt1[[#This Row],[Miesiąc kredytu]]/12,0),"")</f>
        <v/>
      </c>
      <c r="F436" s="71" t="str">
        <f t="shared" si="6"/>
        <v/>
      </c>
      <c r="G436" s="72" t="str" cm="1">
        <f t="array" ref="G436">IF(Kredyt1[[#This Row],[Data]]="","",WIBOR3M)</f>
        <v/>
      </c>
      <c r="H436" s="72" t="str" cm="1">
        <f t="array" ref="H436">IF(Kredyt1[[#This Row],[Data]]="","",G436+MarżaBAnku)</f>
        <v/>
      </c>
      <c r="I436" s="73" t="str">
        <f>IF(Kredyt1[[#This Row],[Data]]="","",Kredyt1[[#This Row],[Cała rata]]-Kredyt1[[#This Row],[Kapitał]])</f>
        <v/>
      </c>
      <c r="J436" s="74" t="str" cm="1">
        <f t="array" ref="J436">IFERROR(-PPMT(Kredyt1[[#This Row],[Oprocentowanie]]/12,Kredyt1[[#This Row],[Miesiąc kredytu]],IlośćRat,KwotaKredytu),"")</f>
        <v/>
      </c>
      <c r="K436" s="75" t="str" cm="1">
        <f t="array" ref="K436">IF(Kredyt1[[#This Row],[Miesiąc kredytu]]="","",-PMT(Kredyt1[[#This Row],[Oprocentowanie]]/12,IlośćRat,KwotaKredytu))</f>
        <v/>
      </c>
      <c r="L436" s="75">
        <v>0</v>
      </c>
      <c r="M436" s="76" t="str">
        <f>IFERROR(M435-J436-Kredyt1[[#This Row],[Nadpłata]],"")</f>
        <v/>
      </c>
    </row>
    <row r="437" spans="4:13">
      <c r="D437" s="70" t="str" cm="1">
        <f t="array" ref="D437">IF(ROW(432:432)&lt;=IlośćRat,ROW(432:432),"")</f>
        <v/>
      </c>
      <c r="E437" s="70" t="str">
        <f>IFERROR(ROUNDUP(Kredyt1[[#This Row],[Miesiąc kredytu]]/12,0),"")</f>
        <v/>
      </c>
      <c r="F437" s="71" t="str">
        <f t="shared" si="6"/>
        <v/>
      </c>
      <c r="G437" s="72" t="str" cm="1">
        <f t="array" ref="G437">IF(Kredyt1[[#This Row],[Data]]="","",WIBOR3M)</f>
        <v/>
      </c>
      <c r="H437" s="72" t="str" cm="1">
        <f t="array" ref="H437">IF(Kredyt1[[#This Row],[Data]]="","",G437+MarżaBAnku)</f>
        <v/>
      </c>
      <c r="I437" s="73" t="str">
        <f>IF(Kredyt1[[#This Row],[Data]]="","",Kredyt1[[#This Row],[Cała rata]]-Kredyt1[[#This Row],[Kapitał]])</f>
        <v/>
      </c>
      <c r="J437" s="74" t="str" cm="1">
        <f t="array" ref="J437">IFERROR(-PPMT(Kredyt1[[#This Row],[Oprocentowanie]]/12,Kredyt1[[#This Row],[Miesiąc kredytu]],IlośćRat,KwotaKredytu),"")</f>
        <v/>
      </c>
      <c r="K437" s="75" t="str" cm="1">
        <f t="array" ref="K437">IF(Kredyt1[[#This Row],[Miesiąc kredytu]]="","",-PMT(Kredyt1[[#This Row],[Oprocentowanie]]/12,IlośćRat,KwotaKredytu))</f>
        <v/>
      </c>
      <c r="L437" s="75">
        <v>0</v>
      </c>
      <c r="M437" s="76" t="str">
        <f>IFERROR(M436-J437-Kredyt1[[#This Row],[Nadpłata]],"")</f>
        <v/>
      </c>
    </row>
    <row r="438" spans="4:13">
      <c r="D438" s="70" t="str" cm="1">
        <f t="array" ref="D438">IF(ROW(433:433)&lt;=IlośćRat,ROW(433:433),"")</f>
        <v/>
      </c>
      <c r="E438" s="70" t="str">
        <f>IFERROR(ROUNDUP(Kredyt1[[#This Row],[Miesiąc kredytu]]/12,0),"")</f>
        <v/>
      </c>
      <c r="F438" s="71" t="str">
        <f t="shared" si="6"/>
        <v/>
      </c>
      <c r="G438" s="72" t="str" cm="1">
        <f t="array" ref="G438">IF(Kredyt1[[#This Row],[Data]]="","",WIBOR3M)</f>
        <v/>
      </c>
      <c r="H438" s="72" t="str" cm="1">
        <f t="array" ref="H438">IF(Kredyt1[[#This Row],[Data]]="","",G438+MarżaBAnku)</f>
        <v/>
      </c>
      <c r="I438" s="73" t="str">
        <f>IF(Kredyt1[[#This Row],[Data]]="","",Kredyt1[[#This Row],[Cała rata]]-Kredyt1[[#This Row],[Kapitał]])</f>
        <v/>
      </c>
      <c r="J438" s="74" t="str" cm="1">
        <f t="array" ref="J438">IFERROR(-PPMT(Kredyt1[[#This Row],[Oprocentowanie]]/12,Kredyt1[[#This Row],[Miesiąc kredytu]],IlośćRat,KwotaKredytu),"")</f>
        <v/>
      </c>
      <c r="K438" s="75" t="str" cm="1">
        <f t="array" ref="K438">IF(Kredyt1[[#This Row],[Miesiąc kredytu]]="","",-PMT(Kredyt1[[#This Row],[Oprocentowanie]]/12,IlośćRat,KwotaKredytu))</f>
        <v/>
      </c>
      <c r="L438" s="75">
        <v>0</v>
      </c>
      <c r="M438" s="76" t="str">
        <f>IFERROR(M437-J438-Kredyt1[[#This Row],[Nadpłata]],"")</f>
        <v/>
      </c>
    </row>
    <row r="439" spans="4:13">
      <c r="D439" s="70" t="str" cm="1">
        <f t="array" ref="D439">IF(ROW(434:434)&lt;=IlośćRat,ROW(434:434),"")</f>
        <v/>
      </c>
      <c r="E439" s="70" t="str">
        <f>IFERROR(ROUNDUP(Kredyt1[[#This Row],[Miesiąc kredytu]]/12,0),"")</f>
        <v/>
      </c>
      <c r="F439" s="71" t="str">
        <f t="shared" si="6"/>
        <v/>
      </c>
      <c r="G439" s="72" t="str" cm="1">
        <f t="array" ref="G439">IF(Kredyt1[[#This Row],[Data]]="","",WIBOR3M)</f>
        <v/>
      </c>
      <c r="H439" s="72" t="str" cm="1">
        <f t="array" ref="H439">IF(Kredyt1[[#This Row],[Data]]="","",G439+MarżaBAnku)</f>
        <v/>
      </c>
      <c r="I439" s="73" t="str">
        <f>IF(Kredyt1[[#This Row],[Data]]="","",Kredyt1[[#This Row],[Cała rata]]-Kredyt1[[#This Row],[Kapitał]])</f>
        <v/>
      </c>
      <c r="J439" s="74" t="str" cm="1">
        <f t="array" ref="J439">IFERROR(-PPMT(Kredyt1[[#This Row],[Oprocentowanie]]/12,Kredyt1[[#This Row],[Miesiąc kredytu]],IlośćRat,KwotaKredytu),"")</f>
        <v/>
      </c>
      <c r="K439" s="75" t="str" cm="1">
        <f t="array" ref="K439">IF(Kredyt1[[#This Row],[Miesiąc kredytu]]="","",-PMT(Kredyt1[[#This Row],[Oprocentowanie]]/12,IlośćRat,KwotaKredytu))</f>
        <v/>
      </c>
      <c r="L439" s="75">
        <v>0</v>
      </c>
      <c r="M439" s="76" t="str">
        <f>IFERROR(M438-J439-Kredyt1[[#This Row],[Nadpłata]],"")</f>
        <v/>
      </c>
    </row>
    <row r="440" spans="4:13">
      <c r="D440" s="70" t="str" cm="1">
        <f t="array" ref="D440">IF(ROW(435:435)&lt;=IlośćRat,ROW(435:435),"")</f>
        <v/>
      </c>
      <c r="E440" s="70" t="str">
        <f>IFERROR(ROUNDUP(Kredyt1[[#This Row],[Miesiąc kredytu]]/12,0),"")</f>
        <v/>
      </c>
      <c r="F440" s="71" t="str">
        <f t="shared" si="6"/>
        <v/>
      </c>
      <c r="G440" s="72" t="str" cm="1">
        <f t="array" ref="G440">IF(Kredyt1[[#This Row],[Data]]="","",WIBOR3M)</f>
        <v/>
      </c>
      <c r="H440" s="72" t="str" cm="1">
        <f t="array" ref="H440">IF(Kredyt1[[#This Row],[Data]]="","",G440+MarżaBAnku)</f>
        <v/>
      </c>
      <c r="I440" s="73" t="str">
        <f>IF(Kredyt1[[#This Row],[Data]]="","",Kredyt1[[#This Row],[Cała rata]]-Kredyt1[[#This Row],[Kapitał]])</f>
        <v/>
      </c>
      <c r="J440" s="74" t="str" cm="1">
        <f t="array" ref="J440">IFERROR(-PPMT(Kredyt1[[#This Row],[Oprocentowanie]]/12,Kredyt1[[#This Row],[Miesiąc kredytu]],IlośćRat,KwotaKredytu),"")</f>
        <v/>
      </c>
      <c r="K440" s="75" t="str" cm="1">
        <f t="array" ref="K440">IF(Kredyt1[[#This Row],[Miesiąc kredytu]]="","",-PMT(Kredyt1[[#This Row],[Oprocentowanie]]/12,IlośćRat,KwotaKredytu))</f>
        <v/>
      </c>
      <c r="L440" s="75">
        <v>0</v>
      </c>
      <c r="M440" s="76" t="str">
        <f>IFERROR(M439-J440-Kredyt1[[#This Row],[Nadpłata]],"")</f>
        <v/>
      </c>
    </row>
    <row r="441" spans="4:13">
      <c r="D441" s="70" t="str" cm="1">
        <f t="array" ref="D441">IF(ROW(436:436)&lt;=IlośćRat,ROW(436:436),"")</f>
        <v/>
      </c>
      <c r="E441" s="70" t="str">
        <f>IFERROR(ROUNDUP(Kredyt1[[#This Row],[Miesiąc kredytu]]/12,0),"")</f>
        <v/>
      </c>
      <c r="F441" s="71" t="str">
        <f t="shared" si="6"/>
        <v/>
      </c>
      <c r="G441" s="72" t="str" cm="1">
        <f t="array" ref="G441">IF(Kredyt1[[#This Row],[Data]]="","",WIBOR3M)</f>
        <v/>
      </c>
      <c r="H441" s="72" t="str" cm="1">
        <f t="array" ref="H441">IF(Kredyt1[[#This Row],[Data]]="","",G441+MarżaBAnku)</f>
        <v/>
      </c>
      <c r="I441" s="73" t="str">
        <f>IF(Kredyt1[[#This Row],[Data]]="","",Kredyt1[[#This Row],[Cała rata]]-Kredyt1[[#This Row],[Kapitał]])</f>
        <v/>
      </c>
      <c r="J441" s="74" t="str" cm="1">
        <f t="array" ref="J441">IFERROR(-PPMT(Kredyt1[[#This Row],[Oprocentowanie]]/12,Kredyt1[[#This Row],[Miesiąc kredytu]],IlośćRat,KwotaKredytu),"")</f>
        <v/>
      </c>
      <c r="K441" s="75" t="str" cm="1">
        <f t="array" ref="K441">IF(Kredyt1[[#This Row],[Miesiąc kredytu]]="","",-PMT(Kredyt1[[#This Row],[Oprocentowanie]]/12,IlośćRat,KwotaKredytu))</f>
        <v/>
      </c>
      <c r="L441" s="75">
        <v>0</v>
      </c>
      <c r="M441" s="76" t="str">
        <f>IFERROR(M440-J441-Kredyt1[[#This Row],[Nadpłata]],"")</f>
        <v/>
      </c>
    </row>
    <row r="442" spans="4:13">
      <c r="D442" s="70" t="str" cm="1">
        <f t="array" ref="D442">IF(ROW(437:437)&lt;=IlośćRat,ROW(437:437),"")</f>
        <v/>
      </c>
      <c r="E442" s="70" t="str">
        <f>IFERROR(ROUNDUP(Kredyt1[[#This Row],[Miesiąc kredytu]]/12,0),"")</f>
        <v/>
      </c>
      <c r="F442" s="71" t="str">
        <f t="shared" si="6"/>
        <v/>
      </c>
      <c r="G442" s="72" t="str" cm="1">
        <f t="array" ref="G442">IF(Kredyt1[[#This Row],[Data]]="","",WIBOR3M)</f>
        <v/>
      </c>
      <c r="H442" s="72" t="str" cm="1">
        <f t="array" ref="H442">IF(Kredyt1[[#This Row],[Data]]="","",G442+MarżaBAnku)</f>
        <v/>
      </c>
      <c r="I442" s="73" t="str">
        <f>IF(Kredyt1[[#This Row],[Data]]="","",Kredyt1[[#This Row],[Cała rata]]-Kredyt1[[#This Row],[Kapitał]])</f>
        <v/>
      </c>
      <c r="J442" s="74" t="str" cm="1">
        <f t="array" ref="J442">IFERROR(-PPMT(Kredyt1[[#This Row],[Oprocentowanie]]/12,Kredyt1[[#This Row],[Miesiąc kredytu]],IlośćRat,KwotaKredytu),"")</f>
        <v/>
      </c>
      <c r="K442" s="75" t="str" cm="1">
        <f t="array" ref="K442">IF(Kredyt1[[#This Row],[Miesiąc kredytu]]="","",-PMT(Kredyt1[[#This Row],[Oprocentowanie]]/12,IlośćRat,KwotaKredytu))</f>
        <v/>
      </c>
      <c r="L442" s="75">
        <v>0</v>
      </c>
      <c r="M442" s="76" t="str">
        <f>IFERROR(M441-J442-Kredyt1[[#This Row],[Nadpłata]],"")</f>
        <v/>
      </c>
    </row>
    <row r="443" spans="4:13">
      <c r="D443" s="70" t="str" cm="1">
        <f t="array" ref="D443">IF(ROW(438:438)&lt;=IlośćRat,ROW(438:438),"")</f>
        <v/>
      </c>
      <c r="E443" s="70" t="str">
        <f>IFERROR(ROUNDUP(Kredyt1[[#This Row],[Miesiąc kredytu]]/12,0),"")</f>
        <v/>
      </c>
      <c r="F443" s="71" t="str">
        <f t="shared" si="6"/>
        <v/>
      </c>
      <c r="G443" s="72" t="str" cm="1">
        <f t="array" ref="G443">IF(Kredyt1[[#This Row],[Data]]="","",WIBOR3M)</f>
        <v/>
      </c>
      <c r="H443" s="72" t="str" cm="1">
        <f t="array" ref="H443">IF(Kredyt1[[#This Row],[Data]]="","",G443+MarżaBAnku)</f>
        <v/>
      </c>
      <c r="I443" s="73" t="str">
        <f>IF(Kredyt1[[#This Row],[Data]]="","",Kredyt1[[#This Row],[Cała rata]]-Kredyt1[[#This Row],[Kapitał]])</f>
        <v/>
      </c>
      <c r="J443" s="74" t="str" cm="1">
        <f t="array" ref="J443">IFERROR(-PPMT(Kredyt1[[#This Row],[Oprocentowanie]]/12,Kredyt1[[#This Row],[Miesiąc kredytu]],IlośćRat,KwotaKredytu),"")</f>
        <v/>
      </c>
      <c r="K443" s="75" t="str" cm="1">
        <f t="array" ref="K443">IF(Kredyt1[[#This Row],[Miesiąc kredytu]]="","",-PMT(Kredyt1[[#This Row],[Oprocentowanie]]/12,IlośćRat,KwotaKredytu))</f>
        <v/>
      </c>
      <c r="L443" s="75">
        <v>0</v>
      </c>
      <c r="M443" s="76" t="str">
        <f>IFERROR(M442-J443-Kredyt1[[#This Row],[Nadpłata]],"")</f>
        <v/>
      </c>
    </row>
    <row r="444" spans="4:13">
      <c r="D444" s="70" t="str" cm="1">
        <f t="array" ref="D444">IF(ROW(439:439)&lt;=IlośćRat,ROW(439:439),"")</f>
        <v/>
      </c>
      <c r="E444" s="70" t="str">
        <f>IFERROR(ROUNDUP(Kredyt1[[#This Row],[Miesiąc kredytu]]/12,0),"")</f>
        <v/>
      </c>
      <c r="F444" s="71" t="str">
        <f t="shared" si="6"/>
        <v/>
      </c>
      <c r="G444" s="72" t="str" cm="1">
        <f t="array" ref="G444">IF(Kredyt1[[#This Row],[Data]]="","",WIBOR3M)</f>
        <v/>
      </c>
      <c r="H444" s="72" t="str" cm="1">
        <f t="array" ref="H444">IF(Kredyt1[[#This Row],[Data]]="","",G444+MarżaBAnku)</f>
        <v/>
      </c>
      <c r="I444" s="73" t="str">
        <f>IF(Kredyt1[[#This Row],[Data]]="","",Kredyt1[[#This Row],[Cała rata]]-Kredyt1[[#This Row],[Kapitał]])</f>
        <v/>
      </c>
      <c r="J444" s="74" t="str" cm="1">
        <f t="array" ref="J444">IFERROR(-PPMT(Kredyt1[[#This Row],[Oprocentowanie]]/12,Kredyt1[[#This Row],[Miesiąc kredytu]],IlośćRat,KwotaKredytu),"")</f>
        <v/>
      </c>
      <c r="K444" s="75" t="str" cm="1">
        <f t="array" ref="K444">IF(Kredyt1[[#This Row],[Miesiąc kredytu]]="","",-PMT(Kredyt1[[#This Row],[Oprocentowanie]]/12,IlośćRat,KwotaKredytu))</f>
        <v/>
      </c>
      <c r="L444" s="75">
        <v>0</v>
      </c>
      <c r="M444" s="76" t="str">
        <f>IFERROR(M443-J444-Kredyt1[[#This Row],[Nadpłata]],"")</f>
        <v/>
      </c>
    </row>
    <row r="445" spans="4:13">
      <c r="D445" s="70" t="str" cm="1">
        <f t="array" ref="D445">IF(ROW(440:440)&lt;=IlośćRat,ROW(440:440),"")</f>
        <v/>
      </c>
      <c r="E445" s="70" t="str">
        <f>IFERROR(ROUNDUP(Kredyt1[[#This Row],[Miesiąc kredytu]]/12,0),"")</f>
        <v/>
      </c>
      <c r="F445" s="71" t="str">
        <f t="shared" si="6"/>
        <v/>
      </c>
      <c r="G445" s="72" t="str" cm="1">
        <f t="array" ref="G445">IF(Kredyt1[[#This Row],[Data]]="","",WIBOR3M)</f>
        <v/>
      </c>
      <c r="H445" s="72" t="str" cm="1">
        <f t="array" ref="H445">IF(Kredyt1[[#This Row],[Data]]="","",G445+MarżaBAnku)</f>
        <v/>
      </c>
      <c r="I445" s="73" t="str">
        <f>IF(Kredyt1[[#This Row],[Data]]="","",Kredyt1[[#This Row],[Cała rata]]-Kredyt1[[#This Row],[Kapitał]])</f>
        <v/>
      </c>
      <c r="J445" s="74" t="str" cm="1">
        <f t="array" ref="J445">IFERROR(-PPMT(Kredyt1[[#This Row],[Oprocentowanie]]/12,Kredyt1[[#This Row],[Miesiąc kredytu]],IlośćRat,KwotaKredytu),"")</f>
        <v/>
      </c>
      <c r="K445" s="75" t="str" cm="1">
        <f t="array" ref="K445">IF(Kredyt1[[#This Row],[Miesiąc kredytu]]="","",-PMT(Kredyt1[[#This Row],[Oprocentowanie]]/12,IlośćRat,KwotaKredytu))</f>
        <v/>
      </c>
      <c r="L445" s="75">
        <v>0</v>
      </c>
      <c r="M445" s="76" t="str">
        <f>IFERROR(M444-J445-Kredyt1[[#This Row],[Nadpłata]],"")</f>
        <v/>
      </c>
    </row>
    <row r="446" spans="4:13">
      <c r="D446" s="70" t="str" cm="1">
        <f t="array" ref="D446">IF(ROW(441:441)&lt;=IlośćRat,ROW(441:441),"")</f>
        <v/>
      </c>
      <c r="E446" s="70" t="str">
        <f>IFERROR(ROUNDUP(Kredyt1[[#This Row],[Miesiąc kredytu]]/12,0),"")</f>
        <v/>
      </c>
      <c r="F446" s="71" t="str">
        <f t="shared" si="6"/>
        <v/>
      </c>
      <c r="G446" s="72" t="str" cm="1">
        <f t="array" ref="G446">IF(Kredyt1[[#This Row],[Data]]="","",WIBOR3M)</f>
        <v/>
      </c>
      <c r="H446" s="72" t="str" cm="1">
        <f t="array" ref="H446">IF(Kredyt1[[#This Row],[Data]]="","",G446+MarżaBAnku)</f>
        <v/>
      </c>
      <c r="I446" s="73" t="str">
        <f>IF(Kredyt1[[#This Row],[Data]]="","",Kredyt1[[#This Row],[Cała rata]]-Kredyt1[[#This Row],[Kapitał]])</f>
        <v/>
      </c>
      <c r="J446" s="74" t="str" cm="1">
        <f t="array" ref="J446">IFERROR(-PPMT(Kredyt1[[#This Row],[Oprocentowanie]]/12,Kredyt1[[#This Row],[Miesiąc kredytu]],IlośćRat,KwotaKredytu),"")</f>
        <v/>
      </c>
      <c r="K446" s="75" t="str" cm="1">
        <f t="array" ref="K446">IF(Kredyt1[[#This Row],[Miesiąc kredytu]]="","",-PMT(Kredyt1[[#This Row],[Oprocentowanie]]/12,IlośćRat,KwotaKredytu))</f>
        <v/>
      </c>
      <c r="L446" s="75">
        <v>0</v>
      </c>
      <c r="M446" s="76" t="str">
        <f>IFERROR(M445-J446-Kredyt1[[#This Row],[Nadpłata]],"")</f>
        <v/>
      </c>
    </row>
    <row r="447" spans="4:13">
      <c r="D447" s="70" t="str" cm="1">
        <f t="array" ref="D447">IF(ROW(442:442)&lt;=IlośćRat,ROW(442:442),"")</f>
        <v/>
      </c>
      <c r="E447" s="70" t="str">
        <f>IFERROR(ROUNDUP(Kredyt1[[#This Row],[Miesiąc kredytu]]/12,0),"")</f>
        <v/>
      </c>
      <c r="F447" s="71" t="str">
        <f t="shared" si="6"/>
        <v/>
      </c>
      <c r="G447" s="72" t="str" cm="1">
        <f t="array" ref="G447">IF(Kredyt1[[#This Row],[Data]]="","",WIBOR3M)</f>
        <v/>
      </c>
      <c r="H447" s="72" t="str" cm="1">
        <f t="array" ref="H447">IF(Kredyt1[[#This Row],[Data]]="","",G447+MarżaBAnku)</f>
        <v/>
      </c>
      <c r="I447" s="73" t="str">
        <f>IF(Kredyt1[[#This Row],[Data]]="","",Kredyt1[[#This Row],[Cała rata]]-Kredyt1[[#This Row],[Kapitał]])</f>
        <v/>
      </c>
      <c r="J447" s="74" t="str" cm="1">
        <f t="array" ref="J447">IFERROR(-PPMT(Kredyt1[[#This Row],[Oprocentowanie]]/12,Kredyt1[[#This Row],[Miesiąc kredytu]],IlośćRat,KwotaKredytu),"")</f>
        <v/>
      </c>
      <c r="K447" s="75" t="str" cm="1">
        <f t="array" ref="K447">IF(Kredyt1[[#This Row],[Miesiąc kredytu]]="","",-PMT(Kredyt1[[#This Row],[Oprocentowanie]]/12,IlośćRat,KwotaKredytu))</f>
        <v/>
      </c>
      <c r="L447" s="75">
        <v>0</v>
      </c>
      <c r="M447" s="76" t="str">
        <f>IFERROR(M446-J447-Kredyt1[[#This Row],[Nadpłata]],"")</f>
        <v/>
      </c>
    </row>
    <row r="448" spans="4:13">
      <c r="D448" s="70" t="str" cm="1">
        <f t="array" ref="D448">IF(ROW(443:443)&lt;=IlośćRat,ROW(443:443),"")</f>
        <v/>
      </c>
      <c r="E448" s="70" t="str">
        <f>IFERROR(ROUNDUP(Kredyt1[[#This Row],[Miesiąc kredytu]]/12,0),"")</f>
        <v/>
      </c>
      <c r="F448" s="71" t="str">
        <f t="shared" si="6"/>
        <v/>
      </c>
      <c r="G448" s="72" t="str" cm="1">
        <f t="array" ref="G448">IF(Kredyt1[[#This Row],[Data]]="","",WIBOR3M)</f>
        <v/>
      </c>
      <c r="H448" s="72" t="str" cm="1">
        <f t="array" ref="H448">IF(Kredyt1[[#This Row],[Data]]="","",G448+MarżaBAnku)</f>
        <v/>
      </c>
      <c r="I448" s="73" t="str">
        <f>IF(Kredyt1[[#This Row],[Data]]="","",Kredyt1[[#This Row],[Cała rata]]-Kredyt1[[#This Row],[Kapitał]])</f>
        <v/>
      </c>
      <c r="J448" s="74" t="str" cm="1">
        <f t="array" ref="J448">IFERROR(-PPMT(Kredyt1[[#This Row],[Oprocentowanie]]/12,Kredyt1[[#This Row],[Miesiąc kredytu]],IlośćRat,KwotaKredytu),"")</f>
        <v/>
      </c>
      <c r="K448" s="75" t="str" cm="1">
        <f t="array" ref="K448">IF(Kredyt1[[#This Row],[Miesiąc kredytu]]="","",-PMT(Kredyt1[[#This Row],[Oprocentowanie]]/12,IlośćRat,KwotaKredytu))</f>
        <v/>
      </c>
      <c r="L448" s="75">
        <v>0</v>
      </c>
      <c r="M448" s="76" t="str">
        <f>IFERROR(M447-J448-Kredyt1[[#This Row],[Nadpłata]],"")</f>
        <v/>
      </c>
    </row>
    <row r="449" spans="4:13">
      <c r="D449" s="70" t="str" cm="1">
        <f t="array" ref="D449">IF(ROW(444:444)&lt;=IlośćRat,ROW(444:444),"")</f>
        <v/>
      </c>
      <c r="E449" s="70" t="str">
        <f>IFERROR(ROUNDUP(Kredyt1[[#This Row],[Miesiąc kredytu]]/12,0),"")</f>
        <v/>
      </c>
      <c r="F449" s="71" t="str">
        <f t="shared" si="6"/>
        <v/>
      </c>
      <c r="G449" s="72" t="str" cm="1">
        <f t="array" ref="G449">IF(Kredyt1[[#This Row],[Data]]="","",WIBOR3M)</f>
        <v/>
      </c>
      <c r="H449" s="72" t="str" cm="1">
        <f t="array" ref="H449">IF(Kredyt1[[#This Row],[Data]]="","",G449+MarżaBAnku)</f>
        <v/>
      </c>
      <c r="I449" s="73" t="str">
        <f>IF(Kredyt1[[#This Row],[Data]]="","",Kredyt1[[#This Row],[Cała rata]]-Kredyt1[[#This Row],[Kapitał]])</f>
        <v/>
      </c>
      <c r="J449" s="74" t="str" cm="1">
        <f t="array" ref="J449">IFERROR(-PPMT(Kredyt1[[#This Row],[Oprocentowanie]]/12,Kredyt1[[#This Row],[Miesiąc kredytu]],IlośćRat,KwotaKredytu),"")</f>
        <v/>
      </c>
      <c r="K449" s="75" t="str" cm="1">
        <f t="array" ref="K449">IF(Kredyt1[[#This Row],[Miesiąc kredytu]]="","",-PMT(Kredyt1[[#This Row],[Oprocentowanie]]/12,IlośćRat,KwotaKredytu))</f>
        <v/>
      </c>
      <c r="L449" s="75">
        <v>0</v>
      </c>
      <c r="M449" s="76" t="str">
        <f>IFERROR(M448-J449-Kredyt1[[#This Row],[Nadpłata]],"")</f>
        <v/>
      </c>
    </row>
    <row r="450" spans="4:13">
      <c r="D450" s="70" t="str" cm="1">
        <f t="array" ref="D450">IF(ROW(445:445)&lt;=IlośćRat,ROW(445:445),"")</f>
        <v/>
      </c>
      <c r="E450" s="70" t="str">
        <f>IFERROR(ROUNDUP(Kredyt1[[#This Row],[Miesiąc kredytu]]/12,0),"")</f>
        <v/>
      </c>
      <c r="F450" s="71" t="str">
        <f t="shared" si="6"/>
        <v/>
      </c>
      <c r="G450" s="72" t="str" cm="1">
        <f t="array" ref="G450">IF(Kredyt1[[#This Row],[Data]]="","",WIBOR3M)</f>
        <v/>
      </c>
      <c r="H450" s="72" t="str" cm="1">
        <f t="array" ref="H450">IF(Kredyt1[[#This Row],[Data]]="","",G450+MarżaBAnku)</f>
        <v/>
      </c>
      <c r="I450" s="73" t="str">
        <f>IF(Kredyt1[[#This Row],[Data]]="","",Kredyt1[[#This Row],[Cała rata]]-Kredyt1[[#This Row],[Kapitał]])</f>
        <v/>
      </c>
      <c r="J450" s="74" t="str" cm="1">
        <f t="array" ref="J450">IFERROR(-PPMT(Kredyt1[[#This Row],[Oprocentowanie]]/12,Kredyt1[[#This Row],[Miesiąc kredytu]],IlośćRat,KwotaKredytu),"")</f>
        <v/>
      </c>
      <c r="K450" s="75" t="str" cm="1">
        <f t="array" ref="K450">IF(Kredyt1[[#This Row],[Miesiąc kredytu]]="","",-PMT(Kredyt1[[#This Row],[Oprocentowanie]]/12,IlośćRat,KwotaKredytu))</f>
        <v/>
      </c>
      <c r="L450" s="75">
        <v>0</v>
      </c>
      <c r="M450" s="76" t="str">
        <f>IFERROR(M449-J450-Kredyt1[[#This Row],[Nadpłata]],"")</f>
        <v/>
      </c>
    </row>
    <row r="451" spans="4:13">
      <c r="D451" s="70" t="str" cm="1">
        <f t="array" ref="D451">IF(ROW(446:446)&lt;=IlośćRat,ROW(446:446),"")</f>
        <v/>
      </c>
      <c r="E451" s="70" t="str">
        <f>IFERROR(ROUNDUP(Kredyt1[[#This Row],[Miesiąc kredytu]]/12,0),"")</f>
        <v/>
      </c>
      <c r="F451" s="71" t="str">
        <f t="shared" si="6"/>
        <v/>
      </c>
      <c r="G451" s="72" t="str" cm="1">
        <f t="array" ref="G451">IF(Kredyt1[[#This Row],[Data]]="","",WIBOR3M)</f>
        <v/>
      </c>
      <c r="H451" s="72" t="str" cm="1">
        <f t="array" ref="H451">IF(Kredyt1[[#This Row],[Data]]="","",G451+MarżaBAnku)</f>
        <v/>
      </c>
      <c r="I451" s="73" t="str">
        <f>IF(Kredyt1[[#This Row],[Data]]="","",Kredyt1[[#This Row],[Cała rata]]-Kredyt1[[#This Row],[Kapitał]])</f>
        <v/>
      </c>
      <c r="J451" s="74" t="str" cm="1">
        <f t="array" ref="J451">IFERROR(-PPMT(Kredyt1[[#This Row],[Oprocentowanie]]/12,Kredyt1[[#This Row],[Miesiąc kredytu]],IlośćRat,KwotaKredytu),"")</f>
        <v/>
      </c>
      <c r="K451" s="75" t="str" cm="1">
        <f t="array" ref="K451">IF(Kredyt1[[#This Row],[Miesiąc kredytu]]="","",-PMT(Kredyt1[[#This Row],[Oprocentowanie]]/12,IlośćRat,KwotaKredytu))</f>
        <v/>
      </c>
      <c r="L451" s="75">
        <v>0</v>
      </c>
      <c r="M451" s="76" t="str">
        <f>IFERROR(M450-J451-Kredyt1[[#This Row],[Nadpłata]],"")</f>
        <v/>
      </c>
    </row>
    <row r="452" spans="4:13">
      <c r="D452" s="70" t="str" cm="1">
        <f t="array" ref="D452">IF(ROW(447:447)&lt;=IlośćRat,ROW(447:447),"")</f>
        <v/>
      </c>
      <c r="E452" s="70" t="str">
        <f>IFERROR(ROUNDUP(Kredyt1[[#This Row],[Miesiąc kredytu]]/12,0),"")</f>
        <v/>
      </c>
      <c r="F452" s="71" t="str">
        <f t="shared" si="6"/>
        <v/>
      </c>
      <c r="G452" s="72" t="str" cm="1">
        <f t="array" ref="G452">IF(Kredyt1[[#This Row],[Data]]="","",WIBOR3M)</f>
        <v/>
      </c>
      <c r="H452" s="72" t="str" cm="1">
        <f t="array" ref="H452">IF(Kredyt1[[#This Row],[Data]]="","",G452+MarżaBAnku)</f>
        <v/>
      </c>
      <c r="I452" s="73" t="str">
        <f>IF(Kredyt1[[#This Row],[Data]]="","",Kredyt1[[#This Row],[Cała rata]]-Kredyt1[[#This Row],[Kapitał]])</f>
        <v/>
      </c>
      <c r="J452" s="74" t="str" cm="1">
        <f t="array" ref="J452">IFERROR(-PPMT(Kredyt1[[#This Row],[Oprocentowanie]]/12,Kredyt1[[#This Row],[Miesiąc kredytu]],IlośćRat,KwotaKredytu),"")</f>
        <v/>
      </c>
      <c r="K452" s="75" t="str" cm="1">
        <f t="array" ref="K452">IF(Kredyt1[[#This Row],[Miesiąc kredytu]]="","",-PMT(Kredyt1[[#This Row],[Oprocentowanie]]/12,IlośćRat,KwotaKredytu))</f>
        <v/>
      </c>
      <c r="L452" s="75">
        <v>0</v>
      </c>
      <c r="M452" s="76" t="str">
        <f>IFERROR(M451-J452-Kredyt1[[#This Row],[Nadpłata]],"")</f>
        <v/>
      </c>
    </row>
    <row r="453" spans="4:13">
      <c r="D453" s="70" t="str" cm="1">
        <f t="array" ref="D453">IF(ROW(448:448)&lt;=IlośćRat,ROW(448:448),"")</f>
        <v/>
      </c>
      <c r="E453" s="70" t="str">
        <f>IFERROR(ROUNDUP(Kredyt1[[#This Row],[Miesiąc kredytu]]/12,0),"")</f>
        <v/>
      </c>
      <c r="F453" s="71" t="str">
        <f t="shared" si="6"/>
        <v/>
      </c>
      <c r="G453" s="72" t="str" cm="1">
        <f t="array" ref="G453">IF(Kredyt1[[#This Row],[Data]]="","",WIBOR3M)</f>
        <v/>
      </c>
      <c r="H453" s="72" t="str" cm="1">
        <f t="array" ref="H453">IF(Kredyt1[[#This Row],[Data]]="","",G453+MarżaBAnku)</f>
        <v/>
      </c>
      <c r="I453" s="73" t="str">
        <f>IF(Kredyt1[[#This Row],[Data]]="","",Kredyt1[[#This Row],[Cała rata]]-Kredyt1[[#This Row],[Kapitał]])</f>
        <v/>
      </c>
      <c r="J453" s="74" t="str" cm="1">
        <f t="array" ref="J453">IFERROR(-PPMT(Kredyt1[[#This Row],[Oprocentowanie]]/12,Kredyt1[[#This Row],[Miesiąc kredytu]],IlośćRat,KwotaKredytu),"")</f>
        <v/>
      </c>
      <c r="K453" s="75" t="str" cm="1">
        <f t="array" ref="K453">IF(Kredyt1[[#This Row],[Miesiąc kredytu]]="","",-PMT(Kredyt1[[#This Row],[Oprocentowanie]]/12,IlośćRat,KwotaKredytu))</f>
        <v/>
      </c>
      <c r="L453" s="75">
        <v>0</v>
      </c>
      <c r="M453" s="76" t="str">
        <f>IFERROR(M452-J453-Kredyt1[[#This Row],[Nadpłata]],"")</f>
        <v/>
      </c>
    </row>
    <row r="454" spans="4:13">
      <c r="D454" s="70" t="str" cm="1">
        <f t="array" ref="D454">IF(ROW(449:449)&lt;=IlośćRat,ROW(449:449),"")</f>
        <v/>
      </c>
      <c r="E454" s="70" t="str">
        <f>IFERROR(ROUNDUP(Kredyt1[[#This Row],[Miesiąc kredytu]]/12,0),"")</f>
        <v/>
      </c>
      <c r="F454" s="71" t="str">
        <f t="shared" ref="F454:F517" si="7">IFERROR(EDATE($B$6,D454-1),"")</f>
        <v/>
      </c>
      <c r="G454" s="72" t="str" cm="1">
        <f t="array" ref="G454">IF(Kredyt1[[#This Row],[Data]]="","",WIBOR3M)</f>
        <v/>
      </c>
      <c r="H454" s="72" t="str" cm="1">
        <f t="array" ref="H454">IF(Kredyt1[[#This Row],[Data]]="","",G454+MarżaBAnku)</f>
        <v/>
      </c>
      <c r="I454" s="73" t="str">
        <f>IF(Kredyt1[[#This Row],[Data]]="","",Kredyt1[[#This Row],[Cała rata]]-Kredyt1[[#This Row],[Kapitał]])</f>
        <v/>
      </c>
      <c r="J454" s="74" t="str" cm="1">
        <f t="array" ref="J454">IFERROR(-PPMT(Kredyt1[[#This Row],[Oprocentowanie]]/12,Kredyt1[[#This Row],[Miesiąc kredytu]],IlośćRat,KwotaKredytu),"")</f>
        <v/>
      </c>
      <c r="K454" s="75" t="str" cm="1">
        <f t="array" ref="K454">IF(Kredyt1[[#This Row],[Miesiąc kredytu]]="","",-PMT(Kredyt1[[#This Row],[Oprocentowanie]]/12,IlośćRat,KwotaKredytu))</f>
        <v/>
      </c>
      <c r="L454" s="75">
        <v>0</v>
      </c>
      <c r="M454" s="76" t="str">
        <f>IFERROR(M453-J454-Kredyt1[[#This Row],[Nadpłata]],"")</f>
        <v/>
      </c>
    </row>
    <row r="455" spans="4:13">
      <c r="D455" s="70" t="str" cm="1">
        <f t="array" ref="D455">IF(ROW(450:450)&lt;=IlośćRat,ROW(450:450),"")</f>
        <v/>
      </c>
      <c r="E455" s="70" t="str">
        <f>IFERROR(ROUNDUP(Kredyt1[[#This Row],[Miesiąc kredytu]]/12,0),"")</f>
        <v/>
      </c>
      <c r="F455" s="71" t="str">
        <f t="shared" si="7"/>
        <v/>
      </c>
      <c r="G455" s="72" t="str" cm="1">
        <f t="array" ref="G455">IF(Kredyt1[[#This Row],[Data]]="","",WIBOR3M)</f>
        <v/>
      </c>
      <c r="H455" s="72" t="str" cm="1">
        <f t="array" ref="H455">IF(Kredyt1[[#This Row],[Data]]="","",G455+MarżaBAnku)</f>
        <v/>
      </c>
      <c r="I455" s="73" t="str">
        <f>IF(Kredyt1[[#This Row],[Data]]="","",Kredyt1[[#This Row],[Cała rata]]-Kredyt1[[#This Row],[Kapitał]])</f>
        <v/>
      </c>
      <c r="J455" s="74" t="str" cm="1">
        <f t="array" ref="J455">IFERROR(-PPMT(Kredyt1[[#This Row],[Oprocentowanie]]/12,Kredyt1[[#This Row],[Miesiąc kredytu]],IlośćRat,KwotaKredytu),"")</f>
        <v/>
      </c>
      <c r="K455" s="75" t="str" cm="1">
        <f t="array" ref="K455">IF(Kredyt1[[#This Row],[Miesiąc kredytu]]="","",-PMT(Kredyt1[[#This Row],[Oprocentowanie]]/12,IlośćRat,KwotaKredytu))</f>
        <v/>
      </c>
      <c r="L455" s="75">
        <v>0</v>
      </c>
      <c r="M455" s="76" t="str">
        <f>IFERROR(M454-J455-Kredyt1[[#This Row],[Nadpłata]],"")</f>
        <v/>
      </c>
    </row>
    <row r="456" spans="4:13">
      <c r="D456" s="70" t="str" cm="1">
        <f t="array" ref="D456">IF(ROW(451:451)&lt;=IlośćRat,ROW(451:451),"")</f>
        <v/>
      </c>
      <c r="E456" s="70" t="str">
        <f>IFERROR(ROUNDUP(Kredyt1[[#This Row],[Miesiąc kredytu]]/12,0),"")</f>
        <v/>
      </c>
      <c r="F456" s="71" t="str">
        <f t="shared" si="7"/>
        <v/>
      </c>
      <c r="G456" s="72" t="str" cm="1">
        <f t="array" ref="G456">IF(Kredyt1[[#This Row],[Data]]="","",WIBOR3M)</f>
        <v/>
      </c>
      <c r="H456" s="72" t="str" cm="1">
        <f t="array" ref="H456">IF(Kredyt1[[#This Row],[Data]]="","",G456+MarżaBAnku)</f>
        <v/>
      </c>
      <c r="I456" s="73" t="str">
        <f>IF(Kredyt1[[#This Row],[Data]]="","",Kredyt1[[#This Row],[Cała rata]]-Kredyt1[[#This Row],[Kapitał]])</f>
        <v/>
      </c>
      <c r="J456" s="74" t="str" cm="1">
        <f t="array" ref="J456">IFERROR(-PPMT(Kredyt1[[#This Row],[Oprocentowanie]]/12,Kredyt1[[#This Row],[Miesiąc kredytu]],IlośćRat,KwotaKredytu),"")</f>
        <v/>
      </c>
      <c r="K456" s="75" t="str" cm="1">
        <f t="array" ref="K456">IF(Kredyt1[[#This Row],[Miesiąc kredytu]]="","",-PMT(Kredyt1[[#This Row],[Oprocentowanie]]/12,IlośćRat,KwotaKredytu))</f>
        <v/>
      </c>
      <c r="L456" s="75">
        <v>0</v>
      </c>
      <c r="M456" s="76" t="str">
        <f>IFERROR(M455-J456-Kredyt1[[#This Row],[Nadpłata]],"")</f>
        <v/>
      </c>
    </row>
    <row r="457" spans="4:13">
      <c r="D457" s="70" t="str" cm="1">
        <f t="array" ref="D457">IF(ROW(452:452)&lt;=IlośćRat,ROW(452:452),"")</f>
        <v/>
      </c>
      <c r="E457" s="70" t="str">
        <f>IFERROR(ROUNDUP(Kredyt1[[#This Row],[Miesiąc kredytu]]/12,0),"")</f>
        <v/>
      </c>
      <c r="F457" s="71" t="str">
        <f t="shared" si="7"/>
        <v/>
      </c>
      <c r="G457" s="72" t="str" cm="1">
        <f t="array" ref="G457">IF(Kredyt1[[#This Row],[Data]]="","",WIBOR3M)</f>
        <v/>
      </c>
      <c r="H457" s="72" t="str" cm="1">
        <f t="array" ref="H457">IF(Kredyt1[[#This Row],[Data]]="","",G457+MarżaBAnku)</f>
        <v/>
      </c>
      <c r="I457" s="73" t="str">
        <f>IF(Kredyt1[[#This Row],[Data]]="","",Kredyt1[[#This Row],[Cała rata]]-Kredyt1[[#This Row],[Kapitał]])</f>
        <v/>
      </c>
      <c r="J457" s="74" t="str" cm="1">
        <f t="array" ref="J457">IFERROR(-PPMT(Kredyt1[[#This Row],[Oprocentowanie]]/12,Kredyt1[[#This Row],[Miesiąc kredytu]],IlośćRat,KwotaKredytu),"")</f>
        <v/>
      </c>
      <c r="K457" s="75" t="str" cm="1">
        <f t="array" ref="K457">IF(Kredyt1[[#This Row],[Miesiąc kredytu]]="","",-PMT(Kredyt1[[#This Row],[Oprocentowanie]]/12,IlośćRat,KwotaKredytu))</f>
        <v/>
      </c>
      <c r="L457" s="75">
        <v>0</v>
      </c>
      <c r="M457" s="76" t="str">
        <f>IFERROR(M456-J457-Kredyt1[[#This Row],[Nadpłata]],"")</f>
        <v/>
      </c>
    </row>
    <row r="458" spans="4:13">
      <c r="D458" s="70" t="str" cm="1">
        <f t="array" ref="D458">IF(ROW(453:453)&lt;=IlośćRat,ROW(453:453),"")</f>
        <v/>
      </c>
      <c r="E458" s="70" t="str">
        <f>IFERROR(ROUNDUP(Kredyt1[[#This Row],[Miesiąc kredytu]]/12,0),"")</f>
        <v/>
      </c>
      <c r="F458" s="71" t="str">
        <f t="shared" si="7"/>
        <v/>
      </c>
      <c r="G458" s="72" t="str" cm="1">
        <f t="array" ref="G458">IF(Kredyt1[[#This Row],[Data]]="","",WIBOR3M)</f>
        <v/>
      </c>
      <c r="H458" s="72" t="str" cm="1">
        <f t="array" ref="H458">IF(Kredyt1[[#This Row],[Data]]="","",G458+MarżaBAnku)</f>
        <v/>
      </c>
      <c r="I458" s="73" t="str">
        <f>IF(Kredyt1[[#This Row],[Data]]="","",Kredyt1[[#This Row],[Cała rata]]-Kredyt1[[#This Row],[Kapitał]])</f>
        <v/>
      </c>
      <c r="J458" s="74" t="str" cm="1">
        <f t="array" ref="J458">IFERROR(-PPMT(Kredyt1[[#This Row],[Oprocentowanie]]/12,Kredyt1[[#This Row],[Miesiąc kredytu]],IlośćRat,KwotaKredytu),"")</f>
        <v/>
      </c>
      <c r="K458" s="75" t="str" cm="1">
        <f t="array" ref="K458">IF(Kredyt1[[#This Row],[Miesiąc kredytu]]="","",-PMT(Kredyt1[[#This Row],[Oprocentowanie]]/12,IlośćRat,KwotaKredytu))</f>
        <v/>
      </c>
      <c r="L458" s="75">
        <v>0</v>
      </c>
      <c r="M458" s="76" t="str">
        <f>IFERROR(M457-J458-Kredyt1[[#This Row],[Nadpłata]],"")</f>
        <v/>
      </c>
    </row>
    <row r="459" spans="4:13">
      <c r="D459" s="70" t="str" cm="1">
        <f t="array" ref="D459">IF(ROW(454:454)&lt;=IlośćRat,ROW(454:454),"")</f>
        <v/>
      </c>
      <c r="E459" s="70" t="str">
        <f>IFERROR(ROUNDUP(Kredyt1[[#This Row],[Miesiąc kredytu]]/12,0),"")</f>
        <v/>
      </c>
      <c r="F459" s="71" t="str">
        <f t="shared" si="7"/>
        <v/>
      </c>
      <c r="G459" s="72" t="str" cm="1">
        <f t="array" ref="G459">IF(Kredyt1[[#This Row],[Data]]="","",WIBOR3M)</f>
        <v/>
      </c>
      <c r="H459" s="72" t="str" cm="1">
        <f t="array" ref="H459">IF(Kredyt1[[#This Row],[Data]]="","",G459+MarżaBAnku)</f>
        <v/>
      </c>
      <c r="I459" s="73" t="str">
        <f>IF(Kredyt1[[#This Row],[Data]]="","",Kredyt1[[#This Row],[Cała rata]]-Kredyt1[[#This Row],[Kapitał]])</f>
        <v/>
      </c>
      <c r="J459" s="74" t="str" cm="1">
        <f t="array" ref="J459">IFERROR(-PPMT(Kredyt1[[#This Row],[Oprocentowanie]]/12,Kredyt1[[#This Row],[Miesiąc kredytu]],IlośćRat,KwotaKredytu),"")</f>
        <v/>
      </c>
      <c r="K459" s="75" t="str" cm="1">
        <f t="array" ref="K459">IF(Kredyt1[[#This Row],[Miesiąc kredytu]]="","",-PMT(Kredyt1[[#This Row],[Oprocentowanie]]/12,IlośćRat,KwotaKredytu))</f>
        <v/>
      </c>
      <c r="L459" s="75">
        <v>0</v>
      </c>
      <c r="M459" s="76" t="str">
        <f>IFERROR(M458-J459-Kredyt1[[#This Row],[Nadpłata]],"")</f>
        <v/>
      </c>
    </row>
    <row r="460" spans="4:13">
      <c r="D460" s="70" t="str" cm="1">
        <f t="array" ref="D460">IF(ROW(455:455)&lt;=IlośćRat,ROW(455:455),"")</f>
        <v/>
      </c>
      <c r="E460" s="70" t="str">
        <f>IFERROR(ROUNDUP(Kredyt1[[#This Row],[Miesiąc kredytu]]/12,0),"")</f>
        <v/>
      </c>
      <c r="F460" s="71" t="str">
        <f t="shared" si="7"/>
        <v/>
      </c>
      <c r="G460" s="72" t="str" cm="1">
        <f t="array" ref="G460">IF(Kredyt1[[#This Row],[Data]]="","",WIBOR3M)</f>
        <v/>
      </c>
      <c r="H460" s="72" t="str" cm="1">
        <f t="array" ref="H460">IF(Kredyt1[[#This Row],[Data]]="","",G460+MarżaBAnku)</f>
        <v/>
      </c>
      <c r="I460" s="73" t="str">
        <f>IF(Kredyt1[[#This Row],[Data]]="","",Kredyt1[[#This Row],[Cała rata]]-Kredyt1[[#This Row],[Kapitał]])</f>
        <v/>
      </c>
      <c r="J460" s="74" t="str" cm="1">
        <f t="array" ref="J460">IFERROR(-PPMT(Kredyt1[[#This Row],[Oprocentowanie]]/12,Kredyt1[[#This Row],[Miesiąc kredytu]],IlośćRat,KwotaKredytu),"")</f>
        <v/>
      </c>
      <c r="K460" s="75" t="str" cm="1">
        <f t="array" ref="K460">IF(Kredyt1[[#This Row],[Miesiąc kredytu]]="","",-PMT(Kredyt1[[#This Row],[Oprocentowanie]]/12,IlośćRat,KwotaKredytu))</f>
        <v/>
      </c>
      <c r="L460" s="75">
        <v>0</v>
      </c>
      <c r="M460" s="76" t="str">
        <f>IFERROR(M459-J460-Kredyt1[[#This Row],[Nadpłata]],"")</f>
        <v/>
      </c>
    </row>
    <row r="461" spans="4:13">
      <c r="D461" s="70" t="str" cm="1">
        <f t="array" ref="D461">IF(ROW(456:456)&lt;=IlośćRat,ROW(456:456),"")</f>
        <v/>
      </c>
      <c r="E461" s="70" t="str">
        <f>IFERROR(ROUNDUP(Kredyt1[[#This Row],[Miesiąc kredytu]]/12,0),"")</f>
        <v/>
      </c>
      <c r="F461" s="71" t="str">
        <f t="shared" si="7"/>
        <v/>
      </c>
      <c r="G461" s="72" t="str" cm="1">
        <f t="array" ref="G461">IF(Kredyt1[[#This Row],[Data]]="","",WIBOR3M)</f>
        <v/>
      </c>
      <c r="H461" s="72" t="str" cm="1">
        <f t="array" ref="H461">IF(Kredyt1[[#This Row],[Data]]="","",G461+MarżaBAnku)</f>
        <v/>
      </c>
      <c r="I461" s="73" t="str">
        <f>IF(Kredyt1[[#This Row],[Data]]="","",Kredyt1[[#This Row],[Cała rata]]-Kredyt1[[#This Row],[Kapitał]])</f>
        <v/>
      </c>
      <c r="J461" s="74" t="str" cm="1">
        <f t="array" ref="J461">IFERROR(-PPMT(Kredyt1[[#This Row],[Oprocentowanie]]/12,Kredyt1[[#This Row],[Miesiąc kredytu]],IlośćRat,KwotaKredytu),"")</f>
        <v/>
      </c>
      <c r="K461" s="75" t="str" cm="1">
        <f t="array" ref="K461">IF(Kredyt1[[#This Row],[Miesiąc kredytu]]="","",-PMT(Kredyt1[[#This Row],[Oprocentowanie]]/12,IlośćRat,KwotaKredytu))</f>
        <v/>
      </c>
      <c r="L461" s="75">
        <v>0</v>
      </c>
      <c r="M461" s="76" t="str">
        <f>IFERROR(M460-J461-Kredyt1[[#This Row],[Nadpłata]],"")</f>
        <v/>
      </c>
    </row>
    <row r="462" spans="4:13">
      <c r="D462" s="70" t="str" cm="1">
        <f t="array" ref="D462">IF(ROW(457:457)&lt;=IlośćRat,ROW(457:457),"")</f>
        <v/>
      </c>
      <c r="E462" s="70" t="str">
        <f>IFERROR(ROUNDUP(Kredyt1[[#This Row],[Miesiąc kredytu]]/12,0),"")</f>
        <v/>
      </c>
      <c r="F462" s="71" t="str">
        <f t="shared" si="7"/>
        <v/>
      </c>
      <c r="G462" s="72" t="str" cm="1">
        <f t="array" ref="G462">IF(Kredyt1[[#This Row],[Data]]="","",WIBOR3M)</f>
        <v/>
      </c>
      <c r="H462" s="72" t="str" cm="1">
        <f t="array" ref="H462">IF(Kredyt1[[#This Row],[Data]]="","",G462+MarżaBAnku)</f>
        <v/>
      </c>
      <c r="I462" s="73" t="str">
        <f>IF(Kredyt1[[#This Row],[Data]]="","",Kredyt1[[#This Row],[Cała rata]]-Kredyt1[[#This Row],[Kapitał]])</f>
        <v/>
      </c>
      <c r="J462" s="74" t="str" cm="1">
        <f t="array" ref="J462">IFERROR(-PPMT(Kredyt1[[#This Row],[Oprocentowanie]]/12,Kredyt1[[#This Row],[Miesiąc kredytu]],IlośćRat,KwotaKredytu),"")</f>
        <v/>
      </c>
      <c r="K462" s="75" t="str" cm="1">
        <f t="array" ref="K462">IF(Kredyt1[[#This Row],[Miesiąc kredytu]]="","",-PMT(Kredyt1[[#This Row],[Oprocentowanie]]/12,IlośćRat,KwotaKredytu))</f>
        <v/>
      </c>
      <c r="L462" s="75">
        <v>0</v>
      </c>
      <c r="M462" s="76" t="str">
        <f>IFERROR(M461-J462-Kredyt1[[#This Row],[Nadpłata]],"")</f>
        <v/>
      </c>
    </row>
    <row r="463" spans="4:13">
      <c r="D463" s="70" t="str" cm="1">
        <f t="array" ref="D463">IF(ROW(458:458)&lt;=IlośćRat,ROW(458:458),"")</f>
        <v/>
      </c>
      <c r="E463" s="70" t="str">
        <f>IFERROR(ROUNDUP(Kredyt1[[#This Row],[Miesiąc kredytu]]/12,0),"")</f>
        <v/>
      </c>
      <c r="F463" s="71" t="str">
        <f t="shared" si="7"/>
        <v/>
      </c>
      <c r="G463" s="72" t="str" cm="1">
        <f t="array" ref="G463">IF(Kredyt1[[#This Row],[Data]]="","",WIBOR3M)</f>
        <v/>
      </c>
      <c r="H463" s="72" t="str" cm="1">
        <f t="array" ref="H463">IF(Kredyt1[[#This Row],[Data]]="","",G463+MarżaBAnku)</f>
        <v/>
      </c>
      <c r="I463" s="73" t="str">
        <f>IF(Kredyt1[[#This Row],[Data]]="","",Kredyt1[[#This Row],[Cała rata]]-Kredyt1[[#This Row],[Kapitał]])</f>
        <v/>
      </c>
      <c r="J463" s="74" t="str" cm="1">
        <f t="array" ref="J463">IFERROR(-PPMT(Kredyt1[[#This Row],[Oprocentowanie]]/12,Kredyt1[[#This Row],[Miesiąc kredytu]],IlośćRat,KwotaKredytu),"")</f>
        <v/>
      </c>
      <c r="K463" s="75" t="str" cm="1">
        <f t="array" ref="K463">IF(Kredyt1[[#This Row],[Miesiąc kredytu]]="","",-PMT(Kredyt1[[#This Row],[Oprocentowanie]]/12,IlośćRat,KwotaKredytu))</f>
        <v/>
      </c>
      <c r="L463" s="75">
        <v>0</v>
      </c>
      <c r="M463" s="76" t="str">
        <f>IFERROR(M462-J463-Kredyt1[[#This Row],[Nadpłata]],"")</f>
        <v/>
      </c>
    </row>
    <row r="464" spans="4:13">
      <c r="D464" s="70" t="str" cm="1">
        <f t="array" ref="D464">IF(ROW(459:459)&lt;=IlośćRat,ROW(459:459),"")</f>
        <v/>
      </c>
      <c r="E464" s="70" t="str">
        <f>IFERROR(ROUNDUP(Kredyt1[[#This Row],[Miesiąc kredytu]]/12,0),"")</f>
        <v/>
      </c>
      <c r="F464" s="71" t="str">
        <f t="shared" si="7"/>
        <v/>
      </c>
      <c r="G464" s="72" t="str" cm="1">
        <f t="array" ref="G464">IF(Kredyt1[[#This Row],[Data]]="","",WIBOR3M)</f>
        <v/>
      </c>
      <c r="H464" s="72" t="str" cm="1">
        <f t="array" ref="H464">IF(Kredyt1[[#This Row],[Data]]="","",G464+MarżaBAnku)</f>
        <v/>
      </c>
      <c r="I464" s="73" t="str">
        <f>IF(Kredyt1[[#This Row],[Data]]="","",Kredyt1[[#This Row],[Cała rata]]-Kredyt1[[#This Row],[Kapitał]])</f>
        <v/>
      </c>
      <c r="J464" s="74" t="str" cm="1">
        <f t="array" ref="J464">IFERROR(-PPMT(Kredyt1[[#This Row],[Oprocentowanie]]/12,Kredyt1[[#This Row],[Miesiąc kredytu]],IlośćRat,KwotaKredytu),"")</f>
        <v/>
      </c>
      <c r="K464" s="75" t="str" cm="1">
        <f t="array" ref="K464">IF(Kredyt1[[#This Row],[Miesiąc kredytu]]="","",-PMT(Kredyt1[[#This Row],[Oprocentowanie]]/12,IlośćRat,KwotaKredytu))</f>
        <v/>
      </c>
      <c r="L464" s="75">
        <v>0</v>
      </c>
      <c r="M464" s="76" t="str">
        <f>IFERROR(M463-J464-Kredyt1[[#This Row],[Nadpłata]],"")</f>
        <v/>
      </c>
    </row>
    <row r="465" spans="4:13">
      <c r="D465" s="70" t="str" cm="1">
        <f t="array" ref="D465">IF(ROW(460:460)&lt;=IlośćRat,ROW(460:460),"")</f>
        <v/>
      </c>
      <c r="E465" s="70" t="str">
        <f>IFERROR(ROUNDUP(Kredyt1[[#This Row],[Miesiąc kredytu]]/12,0),"")</f>
        <v/>
      </c>
      <c r="F465" s="71" t="str">
        <f t="shared" si="7"/>
        <v/>
      </c>
      <c r="G465" s="72" t="str" cm="1">
        <f t="array" ref="G465">IF(Kredyt1[[#This Row],[Data]]="","",WIBOR3M)</f>
        <v/>
      </c>
      <c r="H465" s="72" t="str" cm="1">
        <f t="array" ref="H465">IF(Kredyt1[[#This Row],[Data]]="","",G465+MarżaBAnku)</f>
        <v/>
      </c>
      <c r="I465" s="73" t="str">
        <f>IF(Kredyt1[[#This Row],[Data]]="","",Kredyt1[[#This Row],[Cała rata]]-Kredyt1[[#This Row],[Kapitał]])</f>
        <v/>
      </c>
      <c r="J465" s="74" t="str" cm="1">
        <f t="array" ref="J465">IFERROR(-PPMT(Kredyt1[[#This Row],[Oprocentowanie]]/12,Kredyt1[[#This Row],[Miesiąc kredytu]],IlośćRat,KwotaKredytu),"")</f>
        <v/>
      </c>
      <c r="K465" s="75" t="str" cm="1">
        <f t="array" ref="K465">IF(Kredyt1[[#This Row],[Miesiąc kredytu]]="","",-PMT(Kredyt1[[#This Row],[Oprocentowanie]]/12,IlośćRat,KwotaKredytu))</f>
        <v/>
      </c>
      <c r="L465" s="75">
        <v>0</v>
      </c>
      <c r="M465" s="76" t="str">
        <f>IFERROR(M464-J465-Kredyt1[[#This Row],[Nadpłata]],"")</f>
        <v/>
      </c>
    </row>
    <row r="466" spans="4:13">
      <c r="D466" s="70" t="str" cm="1">
        <f t="array" ref="D466">IF(ROW(461:461)&lt;=IlośćRat,ROW(461:461),"")</f>
        <v/>
      </c>
      <c r="E466" s="70" t="str">
        <f>IFERROR(ROUNDUP(Kredyt1[[#This Row],[Miesiąc kredytu]]/12,0),"")</f>
        <v/>
      </c>
      <c r="F466" s="71" t="str">
        <f t="shared" si="7"/>
        <v/>
      </c>
      <c r="G466" s="72" t="str" cm="1">
        <f t="array" ref="G466">IF(Kredyt1[[#This Row],[Data]]="","",WIBOR3M)</f>
        <v/>
      </c>
      <c r="H466" s="72" t="str" cm="1">
        <f t="array" ref="H466">IF(Kredyt1[[#This Row],[Data]]="","",G466+MarżaBAnku)</f>
        <v/>
      </c>
      <c r="I466" s="73" t="str">
        <f>IF(Kredyt1[[#This Row],[Data]]="","",Kredyt1[[#This Row],[Cała rata]]-Kredyt1[[#This Row],[Kapitał]])</f>
        <v/>
      </c>
      <c r="J466" s="74" t="str" cm="1">
        <f t="array" ref="J466">IFERROR(-PPMT(Kredyt1[[#This Row],[Oprocentowanie]]/12,Kredyt1[[#This Row],[Miesiąc kredytu]],IlośćRat,KwotaKredytu),"")</f>
        <v/>
      </c>
      <c r="K466" s="75" t="str" cm="1">
        <f t="array" ref="K466">IF(Kredyt1[[#This Row],[Miesiąc kredytu]]="","",-PMT(Kredyt1[[#This Row],[Oprocentowanie]]/12,IlośćRat,KwotaKredytu))</f>
        <v/>
      </c>
      <c r="L466" s="75">
        <v>0</v>
      </c>
      <c r="M466" s="76" t="str">
        <f>IFERROR(M465-J466-Kredyt1[[#This Row],[Nadpłata]],"")</f>
        <v/>
      </c>
    </row>
    <row r="467" spans="4:13">
      <c r="D467" s="70" t="str" cm="1">
        <f t="array" ref="D467">IF(ROW(462:462)&lt;=IlośćRat,ROW(462:462),"")</f>
        <v/>
      </c>
      <c r="E467" s="70" t="str">
        <f>IFERROR(ROUNDUP(Kredyt1[[#This Row],[Miesiąc kredytu]]/12,0),"")</f>
        <v/>
      </c>
      <c r="F467" s="71" t="str">
        <f t="shared" si="7"/>
        <v/>
      </c>
      <c r="G467" s="72" t="str" cm="1">
        <f t="array" ref="G467">IF(Kredyt1[[#This Row],[Data]]="","",WIBOR3M)</f>
        <v/>
      </c>
      <c r="H467" s="72" t="str" cm="1">
        <f t="array" ref="H467">IF(Kredyt1[[#This Row],[Data]]="","",G467+MarżaBAnku)</f>
        <v/>
      </c>
      <c r="I467" s="73" t="str">
        <f>IF(Kredyt1[[#This Row],[Data]]="","",Kredyt1[[#This Row],[Cała rata]]-Kredyt1[[#This Row],[Kapitał]])</f>
        <v/>
      </c>
      <c r="J467" s="74" t="str" cm="1">
        <f t="array" ref="J467">IFERROR(-PPMT(Kredyt1[[#This Row],[Oprocentowanie]]/12,Kredyt1[[#This Row],[Miesiąc kredytu]],IlośćRat,KwotaKredytu),"")</f>
        <v/>
      </c>
      <c r="K467" s="75" t="str" cm="1">
        <f t="array" ref="K467">IF(Kredyt1[[#This Row],[Miesiąc kredytu]]="","",-PMT(Kredyt1[[#This Row],[Oprocentowanie]]/12,IlośćRat,KwotaKredytu))</f>
        <v/>
      </c>
      <c r="L467" s="75">
        <v>0</v>
      </c>
      <c r="M467" s="76" t="str">
        <f>IFERROR(M466-J467-Kredyt1[[#This Row],[Nadpłata]],"")</f>
        <v/>
      </c>
    </row>
    <row r="468" spans="4:13">
      <c r="D468" s="70" t="str" cm="1">
        <f t="array" ref="D468">IF(ROW(463:463)&lt;=IlośćRat,ROW(463:463),"")</f>
        <v/>
      </c>
      <c r="E468" s="70" t="str">
        <f>IFERROR(ROUNDUP(Kredyt1[[#This Row],[Miesiąc kredytu]]/12,0),"")</f>
        <v/>
      </c>
      <c r="F468" s="71" t="str">
        <f t="shared" si="7"/>
        <v/>
      </c>
      <c r="G468" s="72" t="str" cm="1">
        <f t="array" ref="G468">IF(Kredyt1[[#This Row],[Data]]="","",WIBOR3M)</f>
        <v/>
      </c>
      <c r="H468" s="72" t="str" cm="1">
        <f t="array" ref="H468">IF(Kredyt1[[#This Row],[Data]]="","",G468+MarżaBAnku)</f>
        <v/>
      </c>
      <c r="I468" s="73" t="str">
        <f>IF(Kredyt1[[#This Row],[Data]]="","",Kredyt1[[#This Row],[Cała rata]]-Kredyt1[[#This Row],[Kapitał]])</f>
        <v/>
      </c>
      <c r="J468" s="74" t="str" cm="1">
        <f t="array" ref="J468">IFERROR(-PPMT(Kredyt1[[#This Row],[Oprocentowanie]]/12,Kredyt1[[#This Row],[Miesiąc kredytu]],IlośćRat,KwotaKredytu),"")</f>
        <v/>
      </c>
      <c r="K468" s="75" t="str" cm="1">
        <f t="array" ref="K468">IF(Kredyt1[[#This Row],[Miesiąc kredytu]]="","",-PMT(Kredyt1[[#This Row],[Oprocentowanie]]/12,IlośćRat,KwotaKredytu))</f>
        <v/>
      </c>
      <c r="L468" s="75">
        <v>0</v>
      </c>
      <c r="M468" s="76" t="str">
        <f>IFERROR(M467-J468-Kredyt1[[#This Row],[Nadpłata]],"")</f>
        <v/>
      </c>
    </row>
    <row r="469" spans="4:13">
      <c r="D469" s="70" t="str" cm="1">
        <f t="array" ref="D469">IF(ROW(464:464)&lt;=IlośćRat,ROW(464:464),"")</f>
        <v/>
      </c>
      <c r="E469" s="70" t="str">
        <f>IFERROR(ROUNDUP(Kredyt1[[#This Row],[Miesiąc kredytu]]/12,0),"")</f>
        <v/>
      </c>
      <c r="F469" s="71" t="str">
        <f t="shared" si="7"/>
        <v/>
      </c>
      <c r="G469" s="72" t="str" cm="1">
        <f t="array" ref="G469">IF(Kredyt1[[#This Row],[Data]]="","",WIBOR3M)</f>
        <v/>
      </c>
      <c r="H469" s="72" t="str" cm="1">
        <f t="array" ref="H469">IF(Kredyt1[[#This Row],[Data]]="","",G469+MarżaBAnku)</f>
        <v/>
      </c>
      <c r="I469" s="73" t="str">
        <f>IF(Kredyt1[[#This Row],[Data]]="","",Kredyt1[[#This Row],[Cała rata]]-Kredyt1[[#This Row],[Kapitał]])</f>
        <v/>
      </c>
      <c r="J469" s="74" t="str" cm="1">
        <f t="array" ref="J469">IFERROR(-PPMT(Kredyt1[[#This Row],[Oprocentowanie]]/12,Kredyt1[[#This Row],[Miesiąc kredytu]],IlośćRat,KwotaKredytu),"")</f>
        <v/>
      </c>
      <c r="K469" s="75" t="str" cm="1">
        <f t="array" ref="K469">IF(Kredyt1[[#This Row],[Miesiąc kredytu]]="","",-PMT(Kredyt1[[#This Row],[Oprocentowanie]]/12,IlośćRat,KwotaKredytu))</f>
        <v/>
      </c>
      <c r="L469" s="75">
        <v>0</v>
      </c>
      <c r="M469" s="76" t="str">
        <f>IFERROR(M468-J469-Kredyt1[[#This Row],[Nadpłata]],"")</f>
        <v/>
      </c>
    </row>
    <row r="470" spans="4:13">
      <c r="D470" s="70" t="str" cm="1">
        <f t="array" ref="D470">IF(ROW(465:465)&lt;=IlośćRat,ROW(465:465),"")</f>
        <v/>
      </c>
      <c r="E470" s="70" t="str">
        <f>IFERROR(ROUNDUP(Kredyt1[[#This Row],[Miesiąc kredytu]]/12,0),"")</f>
        <v/>
      </c>
      <c r="F470" s="71" t="str">
        <f t="shared" si="7"/>
        <v/>
      </c>
      <c r="G470" s="72" t="str" cm="1">
        <f t="array" ref="G470">IF(Kredyt1[[#This Row],[Data]]="","",WIBOR3M)</f>
        <v/>
      </c>
      <c r="H470" s="72" t="str" cm="1">
        <f t="array" ref="H470">IF(Kredyt1[[#This Row],[Data]]="","",G470+MarżaBAnku)</f>
        <v/>
      </c>
      <c r="I470" s="73" t="str">
        <f>IF(Kredyt1[[#This Row],[Data]]="","",Kredyt1[[#This Row],[Cała rata]]-Kredyt1[[#This Row],[Kapitał]])</f>
        <v/>
      </c>
      <c r="J470" s="74" t="str" cm="1">
        <f t="array" ref="J470">IFERROR(-PPMT(Kredyt1[[#This Row],[Oprocentowanie]]/12,Kredyt1[[#This Row],[Miesiąc kredytu]],IlośćRat,KwotaKredytu),"")</f>
        <v/>
      </c>
      <c r="K470" s="75" t="str" cm="1">
        <f t="array" ref="K470">IF(Kredyt1[[#This Row],[Miesiąc kredytu]]="","",-PMT(Kredyt1[[#This Row],[Oprocentowanie]]/12,IlośćRat,KwotaKredytu))</f>
        <v/>
      </c>
      <c r="L470" s="75">
        <v>0</v>
      </c>
      <c r="M470" s="76" t="str">
        <f>IFERROR(M469-J470-Kredyt1[[#This Row],[Nadpłata]],"")</f>
        <v/>
      </c>
    </row>
    <row r="471" spans="4:13">
      <c r="D471" s="70" t="str" cm="1">
        <f t="array" ref="D471">IF(ROW(466:466)&lt;=IlośćRat,ROW(466:466),"")</f>
        <v/>
      </c>
      <c r="E471" s="70" t="str">
        <f>IFERROR(ROUNDUP(Kredyt1[[#This Row],[Miesiąc kredytu]]/12,0),"")</f>
        <v/>
      </c>
      <c r="F471" s="71" t="str">
        <f t="shared" si="7"/>
        <v/>
      </c>
      <c r="G471" s="72" t="str" cm="1">
        <f t="array" ref="G471">IF(Kredyt1[[#This Row],[Data]]="","",WIBOR3M)</f>
        <v/>
      </c>
      <c r="H471" s="72" t="str" cm="1">
        <f t="array" ref="H471">IF(Kredyt1[[#This Row],[Data]]="","",G471+MarżaBAnku)</f>
        <v/>
      </c>
      <c r="I471" s="73" t="str">
        <f>IF(Kredyt1[[#This Row],[Data]]="","",Kredyt1[[#This Row],[Cała rata]]-Kredyt1[[#This Row],[Kapitał]])</f>
        <v/>
      </c>
      <c r="J471" s="74" t="str" cm="1">
        <f t="array" ref="J471">IFERROR(-PPMT(Kredyt1[[#This Row],[Oprocentowanie]]/12,Kredyt1[[#This Row],[Miesiąc kredytu]],IlośćRat,KwotaKredytu),"")</f>
        <v/>
      </c>
      <c r="K471" s="75" t="str" cm="1">
        <f t="array" ref="K471">IF(Kredyt1[[#This Row],[Miesiąc kredytu]]="","",-PMT(Kredyt1[[#This Row],[Oprocentowanie]]/12,IlośćRat,KwotaKredytu))</f>
        <v/>
      </c>
      <c r="L471" s="75">
        <v>0</v>
      </c>
      <c r="M471" s="76" t="str">
        <f>IFERROR(M470-J471-Kredyt1[[#This Row],[Nadpłata]],"")</f>
        <v/>
      </c>
    </row>
    <row r="472" spans="4:13">
      <c r="D472" s="70" t="str" cm="1">
        <f t="array" ref="D472">IF(ROW(467:467)&lt;=IlośćRat,ROW(467:467),"")</f>
        <v/>
      </c>
      <c r="E472" s="70" t="str">
        <f>IFERROR(ROUNDUP(Kredyt1[[#This Row],[Miesiąc kredytu]]/12,0),"")</f>
        <v/>
      </c>
      <c r="F472" s="71" t="str">
        <f t="shared" si="7"/>
        <v/>
      </c>
      <c r="G472" s="72" t="str" cm="1">
        <f t="array" ref="G472">IF(Kredyt1[[#This Row],[Data]]="","",WIBOR3M)</f>
        <v/>
      </c>
      <c r="H472" s="72" t="str" cm="1">
        <f t="array" ref="H472">IF(Kredyt1[[#This Row],[Data]]="","",G472+MarżaBAnku)</f>
        <v/>
      </c>
      <c r="I472" s="73" t="str">
        <f>IF(Kredyt1[[#This Row],[Data]]="","",Kredyt1[[#This Row],[Cała rata]]-Kredyt1[[#This Row],[Kapitał]])</f>
        <v/>
      </c>
      <c r="J472" s="74" t="str" cm="1">
        <f t="array" ref="J472">IFERROR(-PPMT(Kredyt1[[#This Row],[Oprocentowanie]]/12,Kredyt1[[#This Row],[Miesiąc kredytu]],IlośćRat,KwotaKredytu),"")</f>
        <v/>
      </c>
      <c r="K472" s="75" t="str" cm="1">
        <f t="array" ref="K472">IF(Kredyt1[[#This Row],[Miesiąc kredytu]]="","",-PMT(Kredyt1[[#This Row],[Oprocentowanie]]/12,IlośćRat,KwotaKredytu))</f>
        <v/>
      </c>
      <c r="L472" s="75">
        <v>0</v>
      </c>
      <c r="M472" s="76" t="str">
        <f>IFERROR(M471-J472-Kredyt1[[#This Row],[Nadpłata]],"")</f>
        <v/>
      </c>
    </row>
    <row r="473" spans="4:13">
      <c r="D473" s="70" t="str" cm="1">
        <f t="array" ref="D473">IF(ROW(468:468)&lt;=IlośćRat,ROW(468:468),"")</f>
        <v/>
      </c>
      <c r="E473" s="70" t="str">
        <f>IFERROR(ROUNDUP(Kredyt1[[#This Row],[Miesiąc kredytu]]/12,0),"")</f>
        <v/>
      </c>
      <c r="F473" s="71" t="str">
        <f t="shared" si="7"/>
        <v/>
      </c>
      <c r="G473" s="72" t="str" cm="1">
        <f t="array" ref="G473">IF(Kredyt1[[#This Row],[Data]]="","",WIBOR3M)</f>
        <v/>
      </c>
      <c r="H473" s="72" t="str" cm="1">
        <f t="array" ref="H473">IF(Kredyt1[[#This Row],[Data]]="","",G473+MarżaBAnku)</f>
        <v/>
      </c>
      <c r="I473" s="73" t="str">
        <f>IF(Kredyt1[[#This Row],[Data]]="","",Kredyt1[[#This Row],[Cała rata]]-Kredyt1[[#This Row],[Kapitał]])</f>
        <v/>
      </c>
      <c r="J473" s="74" t="str" cm="1">
        <f t="array" ref="J473">IFERROR(-PPMT(Kredyt1[[#This Row],[Oprocentowanie]]/12,Kredyt1[[#This Row],[Miesiąc kredytu]],IlośćRat,KwotaKredytu),"")</f>
        <v/>
      </c>
      <c r="K473" s="75" t="str" cm="1">
        <f t="array" ref="K473">IF(Kredyt1[[#This Row],[Miesiąc kredytu]]="","",-PMT(Kredyt1[[#This Row],[Oprocentowanie]]/12,IlośćRat,KwotaKredytu))</f>
        <v/>
      </c>
      <c r="L473" s="75">
        <v>0</v>
      </c>
      <c r="M473" s="76" t="str">
        <f>IFERROR(M472-J473-Kredyt1[[#This Row],[Nadpłata]],"")</f>
        <v/>
      </c>
    </row>
    <row r="474" spans="4:13">
      <c r="D474" s="70" t="str" cm="1">
        <f t="array" ref="D474">IF(ROW(469:469)&lt;=IlośćRat,ROW(469:469),"")</f>
        <v/>
      </c>
      <c r="E474" s="70" t="str">
        <f>IFERROR(ROUNDUP(Kredyt1[[#This Row],[Miesiąc kredytu]]/12,0),"")</f>
        <v/>
      </c>
      <c r="F474" s="71" t="str">
        <f t="shared" si="7"/>
        <v/>
      </c>
      <c r="G474" s="72" t="str" cm="1">
        <f t="array" ref="G474">IF(Kredyt1[[#This Row],[Data]]="","",WIBOR3M)</f>
        <v/>
      </c>
      <c r="H474" s="72" t="str" cm="1">
        <f t="array" ref="H474">IF(Kredyt1[[#This Row],[Data]]="","",G474+MarżaBAnku)</f>
        <v/>
      </c>
      <c r="I474" s="73" t="str">
        <f>IF(Kredyt1[[#This Row],[Data]]="","",Kredyt1[[#This Row],[Cała rata]]-Kredyt1[[#This Row],[Kapitał]])</f>
        <v/>
      </c>
      <c r="J474" s="74" t="str" cm="1">
        <f t="array" ref="J474">IFERROR(-PPMT(Kredyt1[[#This Row],[Oprocentowanie]]/12,Kredyt1[[#This Row],[Miesiąc kredytu]],IlośćRat,KwotaKredytu),"")</f>
        <v/>
      </c>
      <c r="K474" s="75" t="str" cm="1">
        <f t="array" ref="K474">IF(Kredyt1[[#This Row],[Miesiąc kredytu]]="","",-PMT(Kredyt1[[#This Row],[Oprocentowanie]]/12,IlośćRat,KwotaKredytu))</f>
        <v/>
      </c>
      <c r="L474" s="75">
        <v>0</v>
      </c>
      <c r="M474" s="76" t="str">
        <f>IFERROR(M473-J474-Kredyt1[[#This Row],[Nadpłata]],"")</f>
        <v/>
      </c>
    </row>
    <row r="475" spans="4:13">
      <c r="D475" s="70" t="str" cm="1">
        <f t="array" ref="D475">IF(ROW(470:470)&lt;=IlośćRat,ROW(470:470),"")</f>
        <v/>
      </c>
      <c r="E475" s="70" t="str">
        <f>IFERROR(ROUNDUP(Kredyt1[[#This Row],[Miesiąc kredytu]]/12,0),"")</f>
        <v/>
      </c>
      <c r="F475" s="71" t="str">
        <f t="shared" si="7"/>
        <v/>
      </c>
      <c r="G475" s="72" t="str" cm="1">
        <f t="array" ref="G475">IF(Kredyt1[[#This Row],[Data]]="","",WIBOR3M)</f>
        <v/>
      </c>
      <c r="H475" s="72" t="str" cm="1">
        <f t="array" ref="H475">IF(Kredyt1[[#This Row],[Data]]="","",G475+MarżaBAnku)</f>
        <v/>
      </c>
      <c r="I475" s="73" t="str">
        <f>IF(Kredyt1[[#This Row],[Data]]="","",Kredyt1[[#This Row],[Cała rata]]-Kredyt1[[#This Row],[Kapitał]])</f>
        <v/>
      </c>
      <c r="J475" s="74" t="str" cm="1">
        <f t="array" ref="J475">IFERROR(-PPMT(Kredyt1[[#This Row],[Oprocentowanie]]/12,Kredyt1[[#This Row],[Miesiąc kredytu]],IlośćRat,KwotaKredytu),"")</f>
        <v/>
      </c>
      <c r="K475" s="75" t="str" cm="1">
        <f t="array" ref="K475">IF(Kredyt1[[#This Row],[Miesiąc kredytu]]="","",-PMT(Kredyt1[[#This Row],[Oprocentowanie]]/12,IlośćRat,KwotaKredytu))</f>
        <v/>
      </c>
      <c r="L475" s="75">
        <v>0</v>
      </c>
      <c r="M475" s="76" t="str">
        <f>IFERROR(M474-J475-Kredyt1[[#This Row],[Nadpłata]],"")</f>
        <v/>
      </c>
    </row>
    <row r="476" spans="4:13">
      <c r="D476" s="70" t="str" cm="1">
        <f t="array" ref="D476">IF(ROW(471:471)&lt;=IlośćRat,ROW(471:471),"")</f>
        <v/>
      </c>
      <c r="E476" s="70" t="str">
        <f>IFERROR(ROUNDUP(Kredyt1[[#This Row],[Miesiąc kredytu]]/12,0),"")</f>
        <v/>
      </c>
      <c r="F476" s="71" t="str">
        <f t="shared" si="7"/>
        <v/>
      </c>
      <c r="G476" s="72" t="str" cm="1">
        <f t="array" ref="G476">IF(Kredyt1[[#This Row],[Data]]="","",WIBOR3M)</f>
        <v/>
      </c>
      <c r="H476" s="72" t="str" cm="1">
        <f t="array" ref="H476">IF(Kredyt1[[#This Row],[Data]]="","",G476+MarżaBAnku)</f>
        <v/>
      </c>
      <c r="I476" s="73" t="str">
        <f>IF(Kredyt1[[#This Row],[Data]]="","",Kredyt1[[#This Row],[Cała rata]]-Kredyt1[[#This Row],[Kapitał]])</f>
        <v/>
      </c>
      <c r="J476" s="74" t="str" cm="1">
        <f t="array" ref="J476">IFERROR(-PPMT(Kredyt1[[#This Row],[Oprocentowanie]]/12,Kredyt1[[#This Row],[Miesiąc kredytu]],IlośćRat,KwotaKredytu),"")</f>
        <v/>
      </c>
      <c r="K476" s="75" t="str" cm="1">
        <f t="array" ref="K476">IF(Kredyt1[[#This Row],[Miesiąc kredytu]]="","",-PMT(Kredyt1[[#This Row],[Oprocentowanie]]/12,IlośćRat,KwotaKredytu))</f>
        <v/>
      </c>
      <c r="L476" s="75">
        <v>0</v>
      </c>
      <c r="M476" s="76" t="str">
        <f>IFERROR(M475-J476-Kredyt1[[#This Row],[Nadpłata]],"")</f>
        <v/>
      </c>
    </row>
    <row r="477" spans="4:13">
      <c r="D477" s="70" t="str" cm="1">
        <f t="array" ref="D477">IF(ROW(472:472)&lt;=IlośćRat,ROW(472:472),"")</f>
        <v/>
      </c>
      <c r="E477" s="70" t="str">
        <f>IFERROR(ROUNDUP(Kredyt1[[#This Row],[Miesiąc kredytu]]/12,0),"")</f>
        <v/>
      </c>
      <c r="F477" s="71" t="str">
        <f t="shared" si="7"/>
        <v/>
      </c>
      <c r="G477" s="72" t="str" cm="1">
        <f t="array" ref="G477">IF(Kredyt1[[#This Row],[Data]]="","",WIBOR3M)</f>
        <v/>
      </c>
      <c r="H477" s="72" t="str" cm="1">
        <f t="array" ref="H477">IF(Kredyt1[[#This Row],[Data]]="","",G477+MarżaBAnku)</f>
        <v/>
      </c>
      <c r="I477" s="73" t="str">
        <f>IF(Kredyt1[[#This Row],[Data]]="","",Kredyt1[[#This Row],[Cała rata]]-Kredyt1[[#This Row],[Kapitał]])</f>
        <v/>
      </c>
      <c r="J477" s="74" t="str" cm="1">
        <f t="array" ref="J477">IFERROR(-PPMT(Kredyt1[[#This Row],[Oprocentowanie]]/12,Kredyt1[[#This Row],[Miesiąc kredytu]],IlośćRat,KwotaKredytu),"")</f>
        <v/>
      </c>
      <c r="K477" s="75" t="str" cm="1">
        <f t="array" ref="K477">IF(Kredyt1[[#This Row],[Miesiąc kredytu]]="","",-PMT(Kredyt1[[#This Row],[Oprocentowanie]]/12,IlośćRat,KwotaKredytu))</f>
        <v/>
      </c>
      <c r="L477" s="75">
        <v>0</v>
      </c>
      <c r="M477" s="76" t="str">
        <f>IFERROR(M476-J477-Kredyt1[[#This Row],[Nadpłata]],"")</f>
        <v/>
      </c>
    </row>
    <row r="478" spans="4:13">
      <c r="D478" s="70" t="str" cm="1">
        <f t="array" ref="D478">IF(ROW(473:473)&lt;=IlośćRat,ROW(473:473),"")</f>
        <v/>
      </c>
      <c r="E478" s="70" t="str">
        <f>IFERROR(ROUNDUP(Kredyt1[[#This Row],[Miesiąc kredytu]]/12,0),"")</f>
        <v/>
      </c>
      <c r="F478" s="71" t="str">
        <f t="shared" si="7"/>
        <v/>
      </c>
      <c r="G478" s="72" t="str" cm="1">
        <f t="array" ref="G478">IF(Kredyt1[[#This Row],[Data]]="","",WIBOR3M)</f>
        <v/>
      </c>
      <c r="H478" s="72" t="str" cm="1">
        <f t="array" ref="H478">IF(Kredyt1[[#This Row],[Data]]="","",G478+MarżaBAnku)</f>
        <v/>
      </c>
      <c r="I478" s="73" t="str">
        <f>IF(Kredyt1[[#This Row],[Data]]="","",Kredyt1[[#This Row],[Cała rata]]-Kredyt1[[#This Row],[Kapitał]])</f>
        <v/>
      </c>
      <c r="J478" s="74" t="str" cm="1">
        <f t="array" ref="J478">IFERROR(-PPMT(Kredyt1[[#This Row],[Oprocentowanie]]/12,Kredyt1[[#This Row],[Miesiąc kredytu]],IlośćRat,KwotaKredytu),"")</f>
        <v/>
      </c>
      <c r="K478" s="75" t="str" cm="1">
        <f t="array" ref="K478">IF(Kredyt1[[#This Row],[Miesiąc kredytu]]="","",-PMT(Kredyt1[[#This Row],[Oprocentowanie]]/12,IlośćRat,KwotaKredytu))</f>
        <v/>
      </c>
      <c r="L478" s="75">
        <v>0</v>
      </c>
      <c r="M478" s="76" t="str">
        <f>IFERROR(M477-J478-Kredyt1[[#This Row],[Nadpłata]],"")</f>
        <v/>
      </c>
    </row>
    <row r="479" spans="4:13">
      <c r="D479" s="70" t="str" cm="1">
        <f t="array" ref="D479">IF(ROW(474:474)&lt;=IlośćRat,ROW(474:474),"")</f>
        <v/>
      </c>
      <c r="E479" s="70" t="str">
        <f>IFERROR(ROUNDUP(Kredyt1[[#This Row],[Miesiąc kredytu]]/12,0),"")</f>
        <v/>
      </c>
      <c r="F479" s="71" t="str">
        <f t="shared" si="7"/>
        <v/>
      </c>
      <c r="G479" s="72" t="str" cm="1">
        <f t="array" ref="G479">IF(Kredyt1[[#This Row],[Data]]="","",WIBOR3M)</f>
        <v/>
      </c>
      <c r="H479" s="72" t="str" cm="1">
        <f t="array" ref="H479">IF(Kredyt1[[#This Row],[Data]]="","",G479+MarżaBAnku)</f>
        <v/>
      </c>
      <c r="I479" s="73" t="str">
        <f>IF(Kredyt1[[#This Row],[Data]]="","",Kredyt1[[#This Row],[Cała rata]]-Kredyt1[[#This Row],[Kapitał]])</f>
        <v/>
      </c>
      <c r="J479" s="74" t="str" cm="1">
        <f t="array" ref="J479">IFERROR(-PPMT(Kredyt1[[#This Row],[Oprocentowanie]]/12,Kredyt1[[#This Row],[Miesiąc kredytu]],IlośćRat,KwotaKredytu),"")</f>
        <v/>
      </c>
      <c r="K479" s="75" t="str" cm="1">
        <f t="array" ref="K479">IF(Kredyt1[[#This Row],[Miesiąc kredytu]]="","",-PMT(Kredyt1[[#This Row],[Oprocentowanie]]/12,IlośćRat,KwotaKredytu))</f>
        <v/>
      </c>
      <c r="L479" s="75">
        <v>0</v>
      </c>
      <c r="M479" s="76" t="str">
        <f>IFERROR(M478-J479-Kredyt1[[#This Row],[Nadpłata]],"")</f>
        <v/>
      </c>
    </row>
    <row r="480" spans="4:13">
      <c r="D480" s="70" t="str" cm="1">
        <f t="array" ref="D480">IF(ROW(475:475)&lt;=IlośćRat,ROW(475:475),"")</f>
        <v/>
      </c>
      <c r="E480" s="70" t="str">
        <f>IFERROR(ROUNDUP(Kredyt1[[#This Row],[Miesiąc kredytu]]/12,0),"")</f>
        <v/>
      </c>
      <c r="F480" s="71" t="str">
        <f t="shared" si="7"/>
        <v/>
      </c>
      <c r="G480" s="72" t="str" cm="1">
        <f t="array" ref="G480">IF(Kredyt1[[#This Row],[Data]]="","",WIBOR3M)</f>
        <v/>
      </c>
      <c r="H480" s="72" t="str" cm="1">
        <f t="array" ref="H480">IF(Kredyt1[[#This Row],[Data]]="","",G480+MarżaBAnku)</f>
        <v/>
      </c>
      <c r="I480" s="73" t="str">
        <f>IF(Kredyt1[[#This Row],[Data]]="","",Kredyt1[[#This Row],[Cała rata]]-Kredyt1[[#This Row],[Kapitał]])</f>
        <v/>
      </c>
      <c r="J480" s="74" t="str" cm="1">
        <f t="array" ref="J480">IFERROR(-PPMT(Kredyt1[[#This Row],[Oprocentowanie]]/12,Kredyt1[[#This Row],[Miesiąc kredytu]],IlośćRat,KwotaKredytu),"")</f>
        <v/>
      </c>
      <c r="K480" s="75" t="str" cm="1">
        <f t="array" ref="K480">IF(Kredyt1[[#This Row],[Miesiąc kredytu]]="","",-PMT(Kredyt1[[#This Row],[Oprocentowanie]]/12,IlośćRat,KwotaKredytu))</f>
        <v/>
      </c>
      <c r="L480" s="75">
        <v>0</v>
      </c>
      <c r="M480" s="76" t="str">
        <f>IFERROR(M479-J480-Kredyt1[[#This Row],[Nadpłata]],"")</f>
        <v/>
      </c>
    </row>
    <row r="481" spans="4:13">
      <c r="D481" s="70" t="str" cm="1">
        <f t="array" ref="D481">IF(ROW(476:476)&lt;=IlośćRat,ROW(476:476),"")</f>
        <v/>
      </c>
      <c r="E481" s="70" t="str">
        <f>IFERROR(ROUNDUP(Kredyt1[[#This Row],[Miesiąc kredytu]]/12,0),"")</f>
        <v/>
      </c>
      <c r="F481" s="71" t="str">
        <f t="shared" si="7"/>
        <v/>
      </c>
      <c r="G481" s="72" t="str" cm="1">
        <f t="array" ref="G481">IF(Kredyt1[[#This Row],[Data]]="","",WIBOR3M)</f>
        <v/>
      </c>
      <c r="H481" s="72" t="str" cm="1">
        <f t="array" ref="H481">IF(Kredyt1[[#This Row],[Data]]="","",G481+MarżaBAnku)</f>
        <v/>
      </c>
      <c r="I481" s="73" t="str">
        <f>IF(Kredyt1[[#This Row],[Data]]="","",Kredyt1[[#This Row],[Cała rata]]-Kredyt1[[#This Row],[Kapitał]])</f>
        <v/>
      </c>
      <c r="J481" s="74" t="str" cm="1">
        <f t="array" ref="J481">IFERROR(-PPMT(Kredyt1[[#This Row],[Oprocentowanie]]/12,Kredyt1[[#This Row],[Miesiąc kredytu]],IlośćRat,KwotaKredytu),"")</f>
        <v/>
      </c>
      <c r="K481" s="75" t="str" cm="1">
        <f t="array" ref="K481">IF(Kredyt1[[#This Row],[Miesiąc kredytu]]="","",-PMT(Kredyt1[[#This Row],[Oprocentowanie]]/12,IlośćRat,KwotaKredytu))</f>
        <v/>
      </c>
      <c r="L481" s="75">
        <v>0</v>
      </c>
      <c r="M481" s="76" t="str">
        <f>IFERROR(M480-J481-Kredyt1[[#This Row],[Nadpłata]],"")</f>
        <v/>
      </c>
    </row>
    <row r="482" spans="4:13">
      <c r="D482" s="70" t="str" cm="1">
        <f t="array" ref="D482">IF(ROW(477:477)&lt;=IlośćRat,ROW(477:477),"")</f>
        <v/>
      </c>
      <c r="E482" s="70" t="str">
        <f>IFERROR(ROUNDUP(Kredyt1[[#This Row],[Miesiąc kredytu]]/12,0),"")</f>
        <v/>
      </c>
      <c r="F482" s="71" t="str">
        <f t="shared" si="7"/>
        <v/>
      </c>
      <c r="G482" s="72" t="str" cm="1">
        <f t="array" ref="G482">IF(Kredyt1[[#This Row],[Data]]="","",WIBOR3M)</f>
        <v/>
      </c>
      <c r="H482" s="72" t="str" cm="1">
        <f t="array" ref="H482">IF(Kredyt1[[#This Row],[Data]]="","",G482+MarżaBAnku)</f>
        <v/>
      </c>
      <c r="I482" s="73" t="str">
        <f>IF(Kredyt1[[#This Row],[Data]]="","",Kredyt1[[#This Row],[Cała rata]]-Kredyt1[[#This Row],[Kapitał]])</f>
        <v/>
      </c>
      <c r="J482" s="74" t="str" cm="1">
        <f t="array" ref="J482">IFERROR(-PPMT(Kredyt1[[#This Row],[Oprocentowanie]]/12,Kredyt1[[#This Row],[Miesiąc kredytu]],IlośćRat,KwotaKredytu),"")</f>
        <v/>
      </c>
      <c r="K482" s="75" t="str" cm="1">
        <f t="array" ref="K482">IF(Kredyt1[[#This Row],[Miesiąc kredytu]]="","",-PMT(Kredyt1[[#This Row],[Oprocentowanie]]/12,IlośćRat,KwotaKredytu))</f>
        <v/>
      </c>
      <c r="L482" s="75">
        <v>0</v>
      </c>
      <c r="M482" s="76" t="str">
        <f>IFERROR(M481-J482-Kredyt1[[#This Row],[Nadpłata]],"")</f>
        <v/>
      </c>
    </row>
    <row r="483" spans="4:13">
      <c r="D483" s="70" t="str" cm="1">
        <f t="array" ref="D483">IF(ROW(478:478)&lt;=IlośćRat,ROW(478:478),"")</f>
        <v/>
      </c>
      <c r="E483" s="70" t="str">
        <f>IFERROR(ROUNDUP(Kredyt1[[#This Row],[Miesiąc kredytu]]/12,0),"")</f>
        <v/>
      </c>
      <c r="F483" s="71" t="str">
        <f t="shared" si="7"/>
        <v/>
      </c>
      <c r="G483" s="72" t="str" cm="1">
        <f t="array" ref="G483">IF(Kredyt1[[#This Row],[Data]]="","",WIBOR3M)</f>
        <v/>
      </c>
      <c r="H483" s="72" t="str" cm="1">
        <f t="array" ref="H483">IF(Kredyt1[[#This Row],[Data]]="","",G483+MarżaBAnku)</f>
        <v/>
      </c>
      <c r="I483" s="73" t="str">
        <f>IF(Kredyt1[[#This Row],[Data]]="","",Kredyt1[[#This Row],[Cała rata]]-Kredyt1[[#This Row],[Kapitał]])</f>
        <v/>
      </c>
      <c r="J483" s="74" t="str" cm="1">
        <f t="array" ref="J483">IFERROR(-PPMT(Kredyt1[[#This Row],[Oprocentowanie]]/12,Kredyt1[[#This Row],[Miesiąc kredytu]],IlośćRat,KwotaKredytu),"")</f>
        <v/>
      </c>
      <c r="K483" s="75" t="str" cm="1">
        <f t="array" ref="K483">IF(Kredyt1[[#This Row],[Miesiąc kredytu]]="","",-PMT(Kredyt1[[#This Row],[Oprocentowanie]]/12,IlośćRat,KwotaKredytu))</f>
        <v/>
      </c>
      <c r="L483" s="75">
        <v>0</v>
      </c>
      <c r="M483" s="76" t="str">
        <f>IFERROR(M482-J483-Kredyt1[[#This Row],[Nadpłata]],"")</f>
        <v/>
      </c>
    </row>
    <row r="484" spans="4:13">
      <c r="D484" s="70" t="str" cm="1">
        <f t="array" ref="D484">IF(ROW(479:479)&lt;=IlośćRat,ROW(479:479),"")</f>
        <v/>
      </c>
      <c r="E484" s="70" t="str">
        <f>IFERROR(ROUNDUP(Kredyt1[[#This Row],[Miesiąc kredytu]]/12,0),"")</f>
        <v/>
      </c>
      <c r="F484" s="71" t="str">
        <f t="shared" si="7"/>
        <v/>
      </c>
      <c r="G484" s="72" t="str" cm="1">
        <f t="array" ref="G484">IF(Kredyt1[[#This Row],[Data]]="","",WIBOR3M)</f>
        <v/>
      </c>
      <c r="H484" s="72" t="str" cm="1">
        <f t="array" ref="H484">IF(Kredyt1[[#This Row],[Data]]="","",G484+MarżaBAnku)</f>
        <v/>
      </c>
      <c r="I484" s="73" t="str">
        <f>IF(Kredyt1[[#This Row],[Data]]="","",Kredyt1[[#This Row],[Cała rata]]-Kredyt1[[#This Row],[Kapitał]])</f>
        <v/>
      </c>
      <c r="J484" s="74" t="str" cm="1">
        <f t="array" ref="J484">IFERROR(-PPMT(Kredyt1[[#This Row],[Oprocentowanie]]/12,Kredyt1[[#This Row],[Miesiąc kredytu]],IlośćRat,KwotaKredytu),"")</f>
        <v/>
      </c>
      <c r="K484" s="75" t="str" cm="1">
        <f t="array" ref="K484">IF(Kredyt1[[#This Row],[Miesiąc kredytu]]="","",-PMT(Kredyt1[[#This Row],[Oprocentowanie]]/12,IlośćRat,KwotaKredytu))</f>
        <v/>
      </c>
      <c r="L484" s="75">
        <v>0</v>
      </c>
      <c r="M484" s="76" t="str">
        <f>IFERROR(M483-J484-Kredyt1[[#This Row],[Nadpłata]],"")</f>
        <v/>
      </c>
    </row>
    <row r="485" spans="4:13">
      <c r="D485" s="70" t="str" cm="1">
        <f t="array" ref="D485">IF(ROW(480:480)&lt;=IlośćRat,ROW(480:480),"")</f>
        <v/>
      </c>
      <c r="E485" s="70" t="str">
        <f>IFERROR(ROUNDUP(Kredyt1[[#This Row],[Miesiąc kredytu]]/12,0),"")</f>
        <v/>
      </c>
      <c r="F485" s="71" t="str">
        <f t="shared" si="7"/>
        <v/>
      </c>
      <c r="G485" s="72" t="str" cm="1">
        <f t="array" ref="G485">IF(Kredyt1[[#This Row],[Data]]="","",WIBOR3M)</f>
        <v/>
      </c>
      <c r="H485" s="72" t="str" cm="1">
        <f t="array" ref="H485">IF(Kredyt1[[#This Row],[Data]]="","",G485+MarżaBAnku)</f>
        <v/>
      </c>
      <c r="I485" s="73" t="str">
        <f>IF(Kredyt1[[#This Row],[Data]]="","",Kredyt1[[#This Row],[Cała rata]]-Kredyt1[[#This Row],[Kapitał]])</f>
        <v/>
      </c>
      <c r="J485" s="74" t="str" cm="1">
        <f t="array" ref="J485">IFERROR(-PPMT(Kredyt1[[#This Row],[Oprocentowanie]]/12,Kredyt1[[#This Row],[Miesiąc kredytu]],IlośćRat,KwotaKredytu),"")</f>
        <v/>
      </c>
      <c r="K485" s="75" t="str" cm="1">
        <f t="array" ref="K485">IF(Kredyt1[[#This Row],[Miesiąc kredytu]]="","",-PMT(Kredyt1[[#This Row],[Oprocentowanie]]/12,IlośćRat,KwotaKredytu))</f>
        <v/>
      </c>
      <c r="L485" s="75">
        <v>0</v>
      </c>
      <c r="M485" s="76" t="str">
        <f>IFERROR(M484-J485-Kredyt1[[#This Row],[Nadpłata]],"")</f>
        <v/>
      </c>
    </row>
    <row r="486" spans="4:13">
      <c r="D486" s="70" t="str" cm="1">
        <f t="array" ref="D486">IF(ROW(481:481)&lt;=IlośćRat,ROW(481:481),"")</f>
        <v/>
      </c>
      <c r="E486" s="70" t="str">
        <f>IFERROR(ROUNDUP(Kredyt1[[#This Row],[Miesiąc kredytu]]/12,0),"")</f>
        <v/>
      </c>
      <c r="F486" s="71" t="str">
        <f t="shared" si="7"/>
        <v/>
      </c>
      <c r="G486" s="72" t="str" cm="1">
        <f t="array" ref="G486">IF(Kredyt1[[#This Row],[Data]]="","",WIBOR3M)</f>
        <v/>
      </c>
      <c r="H486" s="72" t="str" cm="1">
        <f t="array" ref="H486">IF(Kredyt1[[#This Row],[Data]]="","",G486+MarżaBAnku)</f>
        <v/>
      </c>
      <c r="I486" s="73" t="str">
        <f>IF(Kredyt1[[#This Row],[Data]]="","",Kredyt1[[#This Row],[Cała rata]]-Kredyt1[[#This Row],[Kapitał]])</f>
        <v/>
      </c>
      <c r="J486" s="74" t="str" cm="1">
        <f t="array" ref="J486">IFERROR(-PPMT(Kredyt1[[#This Row],[Oprocentowanie]]/12,Kredyt1[[#This Row],[Miesiąc kredytu]],IlośćRat,KwotaKredytu),"")</f>
        <v/>
      </c>
      <c r="K486" s="75" t="str" cm="1">
        <f t="array" ref="K486">IF(Kredyt1[[#This Row],[Miesiąc kredytu]]="","",-PMT(Kredyt1[[#This Row],[Oprocentowanie]]/12,IlośćRat,KwotaKredytu))</f>
        <v/>
      </c>
      <c r="L486" s="75">
        <v>0</v>
      </c>
      <c r="M486" s="76" t="str">
        <f>IFERROR(M485-J486-Kredyt1[[#This Row],[Nadpłata]],"")</f>
        <v/>
      </c>
    </row>
    <row r="487" spans="4:13">
      <c r="D487" s="70" t="str" cm="1">
        <f t="array" ref="D487">IF(ROW(482:482)&lt;=IlośćRat,ROW(482:482),"")</f>
        <v/>
      </c>
      <c r="E487" s="70" t="str">
        <f>IFERROR(ROUNDUP(Kredyt1[[#This Row],[Miesiąc kredytu]]/12,0),"")</f>
        <v/>
      </c>
      <c r="F487" s="71" t="str">
        <f t="shared" si="7"/>
        <v/>
      </c>
      <c r="G487" s="72" t="str" cm="1">
        <f t="array" ref="G487">IF(Kredyt1[[#This Row],[Data]]="","",WIBOR3M)</f>
        <v/>
      </c>
      <c r="H487" s="72" t="str" cm="1">
        <f t="array" ref="H487">IF(Kredyt1[[#This Row],[Data]]="","",G487+MarżaBAnku)</f>
        <v/>
      </c>
      <c r="I487" s="73" t="str">
        <f>IF(Kredyt1[[#This Row],[Data]]="","",Kredyt1[[#This Row],[Cała rata]]-Kredyt1[[#This Row],[Kapitał]])</f>
        <v/>
      </c>
      <c r="J487" s="74" t="str" cm="1">
        <f t="array" ref="J487">IFERROR(-PPMT(Kredyt1[[#This Row],[Oprocentowanie]]/12,Kredyt1[[#This Row],[Miesiąc kredytu]],IlośćRat,KwotaKredytu),"")</f>
        <v/>
      </c>
      <c r="K487" s="75" t="str" cm="1">
        <f t="array" ref="K487">IF(Kredyt1[[#This Row],[Miesiąc kredytu]]="","",-PMT(Kredyt1[[#This Row],[Oprocentowanie]]/12,IlośćRat,KwotaKredytu))</f>
        <v/>
      </c>
      <c r="L487" s="75">
        <v>0</v>
      </c>
      <c r="M487" s="76" t="str">
        <f>IFERROR(M486-J487-Kredyt1[[#This Row],[Nadpłata]],"")</f>
        <v/>
      </c>
    </row>
    <row r="488" spans="4:13">
      <c r="D488" s="70" t="str" cm="1">
        <f t="array" ref="D488">IF(ROW(483:483)&lt;=IlośćRat,ROW(483:483),"")</f>
        <v/>
      </c>
      <c r="E488" s="70" t="str">
        <f>IFERROR(ROUNDUP(Kredyt1[[#This Row],[Miesiąc kredytu]]/12,0),"")</f>
        <v/>
      </c>
      <c r="F488" s="71" t="str">
        <f t="shared" si="7"/>
        <v/>
      </c>
      <c r="G488" s="72" t="str" cm="1">
        <f t="array" ref="G488">IF(Kredyt1[[#This Row],[Data]]="","",WIBOR3M)</f>
        <v/>
      </c>
      <c r="H488" s="72" t="str" cm="1">
        <f t="array" ref="H488">IF(Kredyt1[[#This Row],[Data]]="","",G488+MarżaBAnku)</f>
        <v/>
      </c>
      <c r="I488" s="73" t="str">
        <f>IF(Kredyt1[[#This Row],[Data]]="","",Kredyt1[[#This Row],[Cała rata]]-Kredyt1[[#This Row],[Kapitał]])</f>
        <v/>
      </c>
      <c r="J488" s="74" t="str" cm="1">
        <f t="array" ref="J488">IFERROR(-PPMT(Kredyt1[[#This Row],[Oprocentowanie]]/12,Kredyt1[[#This Row],[Miesiąc kredytu]],IlośćRat,KwotaKredytu),"")</f>
        <v/>
      </c>
      <c r="K488" s="75" t="str" cm="1">
        <f t="array" ref="K488">IF(Kredyt1[[#This Row],[Miesiąc kredytu]]="","",-PMT(Kredyt1[[#This Row],[Oprocentowanie]]/12,IlośćRat,KwotaKredytu))</f>
        <v/>
      </c>
      <c r="L488" s="75">
        <v>0</v>
      </c>
      <c r="M488" s="76" t="str">
        <f>IFERROR(M487-J488-Kredyt1[[#This Row],[Nadpłata]],"")</f>
        <v/>
      </c>
    </row>
    <row r="489" spans="4:13">
      <c r="D489" s="70" t="str" cm="1">
        <f t="array" ref="D489">IF(ROW(484:484)&lt;=IlośćRat,ROW(484:484),"")</f>
        <v/>
      </c>
      <c r="E489" s="70" t="str">
        <f>IFERROR(ROUNDUP(Kredyt1[[#This Row],[Miesiąc kredytu]]/12,0),"")</f>
        <v/>
      </c>
      <c r="F489" s="71" t="str">
        <f t="shared" si="7"/>
        <v/>
      </c>
      <c r="G489" s="72" t="str" cm="1">
        <f t="array" ref="G489">IF(Kredyt1[[#This Row],[Data]]="","",WIBOR3M)</f>
        <v/>
      </c>
      <c r="H489" s="72" t="str" cm="1">
        <f t="array" ref="H489">IF(Kredyt1[[#This Row],[Data]]="","",G489+MarżaBAnku)</f>
        <v/>
      </c>
      <c r="I489" s="73" t="str">
        <f>IF(Kredyt1[[#This Row],[Data]]="","",Kredyt1[[#This Row],[Cała rata]]-Kredyt1[[#This Row],[Kapitał]])</f>
        <v/>
      </c>
      <c r="J489" s="74" t="str" cm="1">
        <f t="array" ref="J489">IFERROR(-PPMT(Kredyt1[[#This Row],[Oprocentowanie]]/12,Kredyt1[[#This Row],[Miesiąc kredytu]],IlośćRat,KwotaKredytu),"")</f>
        <v/>
      </c>
      <c r="K489" s="75" t="str" cm="1">
        <f t="array" ref="K489">IF(Kredyt1[[#This Row],[Miesiąc kredytu]]="","",-PMT(Kredyt1[[#This Row],[Oprocentowanie]]/12,IlośćRat,KwotaKredytu))</f>
        <v/>
      </c>
      <c r="L489" s="75">
        <v>0</v>
      </c>
      <c r="M489" s="76" t="str">
        <f>IFERROR(M488-J489-Kredyt1[[#This Row],[Nadpłata]],"")</f>
        <v/>
      </c>
    </row>
    <row r="490" spans="4:13">
      <c r="D490" s="70" t="str" cm="1">
        <f t="array" ref="D490">IF(ROW(485:485)&lt;=IlośćRat,ROW(485:485),"")</f>
        <v/>
      </c>
      <c r="E490" s="70" t="str">
        <f>IFERROR(ROUNDUP(Kredyt1[[#This Row],[Miesiąc kredytu]]/12,0),"")</f>
        <v/>
      </c>
      <c r="F490" s="71" t="str">
        <f t="shared" si="7"/>
        <v/>
      </c>
      <c r="G490" s="72" t="str" cm="1">
        <f t="array" ref="G490">IF(Kredyt1[[#This Row],[Data]]="","",WIBOR3M)</f>
        <v/>
      </c>
      <c r="H490" s="72" t="str" cm="1">
        <f t="array" ref="H490">IF(Kredyt1[[#This Row],[Data]]="","",G490+MarżaBAnku)</f>
        <v/>
      </c>
      <c r="I490" s="73" t="str">
        <f>IF(Kredyt1[[#This Row],[Data]]="","",Kredyt1[[#This Row],[Cała rata]]-Kredyt1[[#This Row],[Kapitał]])</f>
        <v/>
      </c>
      <c r="J490" s="74" t="str" cm="1">
        <f t="array" ref="J490">IFERROR(-PPMT(Kredyt1[[#This Row],[Oprocentowanie]]/12,Kredyt1[[#This Row],[Miesiąc kredytu]],IlośćRat,KwotaKredytu),"")</f>
        <v/>
      </c>
      <c r="K490" s="75" t="str" cm="1">
        <f t="array" ref="K490">IF(Kredyt1[[#This Row],[Miesiąc kredytu]]="","",-PMT(Kredyt1[[#This Row],[Oprocentowanie]]/12,IlośćRat,KwotaKredytu))</f>
        <v/>
      </c>
      <c r="L490" s="75">
        <v>0</v>
      </c>
      <c r="M490" s="76" t="str">
        <f>IFERROR(M489-J490-Kredyt1[[#This Row],[Nadpłata]],"")</f>
        <v/>
      </c>
    </row>
    <row r="491" spans="4:13">
      <c r="D491" s="70" t="str" cm="1">
        <f t="array" ref="D491">IF(ROW(486:486)&lt;=IlośćRat,ROW(486:486),"")</f>
        <v/>
      </c>
      <c r="E491" s="70" t="str">
        <f>IFERROR(ROUNDUP(Kredyt1[[#This Row],[Miesiąc kredytu]]/12,0),"")</f>
        <v/>
      </c>
      <c r="F491" s="71" t="str">
        <f t="shared" si="7"/>
        <v/>
      </c>
      <c r="G491" s="72" t="str" cm="1">
        <f t="array" ref="G491">IF(Kredyt1[[#This Row],[Data]]="","",WIBOR3M)</f>
        <v/>
      </c>
      <c r="H491" s="72" t="str" cm="1">
        <f t="array" ref="H491">IF(Kredyt1[[#This Row],[Data]]="","",G491+MarżaBAnku)</f>
        <v/>
      </c>
      <c r="I491" s="73" t="str">
        <f>IF(Kredyt1[[#This Row],[Data]]="","",Kredyt1[[#This Row],[Cała rata]]-Kredyt1[[#This Row],[Kapitał]])</f>
        <v/>
      </c>
      <c r="J491" s="74" t="str" cm="1">
        <f t="array" ref="J491">IFERROR(-PPMT(Kredyt1[[#This Row],[Oprocentowanie]]/12,Kredyt1[[#This Row],[Miesiąc kredytu]],IlośćRat,KwotaKredytu),"")</f>
        <v/>
      </c>
      <c r="K491" s="75" t="str" cm="1">
        <f t="array" ref="K491">IF(Kredyt1[[#This Row],[Miesiąc kredytu]]="","",-PMT(Kredyt1[[#This Row],[Oprocentowanie]]/12,IlośćRat,KwotaKredytu))</f>
        <v/>
      </c>
      <c r="L491" s="75">
        <v>0</v>
      </c>
      <c r="M491" s="76" t="str">
        <f>IFERROR(M490-J491-Kredyt1[[#This Row],[Nadpłata]],"")</f>
        <v/>
      </c>
    </row>
    <row r="492" spans="4:13">
      <c r="D492" s="70" t="str" cm="1">
        <f t="array" ref="D492">IF(ROW(487:487)&lt;=IlośćRat,ROW(487:487),"")</f>
        <v/>
      </c>
      <c r="E492" s="70" t="str">
        <f>IFERROR(ROUNDUP(Kredyt1[[#This Row],[Miesiąc kredytu]]/12,0),"")</f>
        <v/>
      </c>
      <c r="F492" s="71" t="str">
        <f t="shared" si="7"/>
        <v/>
      </c>
      <c r="G492" s="72" t="str" cm="1">
        <f t="array" ref="G492">IF(Kredyt1[[#This Row],[Data]]="","",WIBOR3M)</f>
        <v/>
      </c>
      <c r="H492" s="72" t="str" cm="1">
        <f t="array" ref="H492">IF(Kredyt1[[#This Row],[Data]]="","",G492+MarżaBAnku)</f>
        <v/>
      </c>
      <c r="I492" s="73" t="str">
        <f>IF(Kredyt1[[#This Row],[Data]]="","",Kredyt1[[#This Row],[Cała rata]]-Kredyt1[[#This Row],[Kapitał]])</f>
        <v/>
      </c>
      <c r="J492" s="74" t="str" cm="1">
        <f t="array" ref="J492">IFERROR(-PPMT(Kredyt1[[#This Row],[Oprocentowanie]]/12,Kredyt1[[#This Row],[Miesiąc kredytu]],IlośćRat,KwotaKredytu),"")</f>
        <v/>
      </c>
      <c r="K492" s="75" t="str" cm="1">
        <f t="array" ref="K492">IF(Kredyt1[[#This Row],[Miesiąc kredytu]]="","",-PMT(Kredyt1[[#This Row],[Oprocentowanie]]/12,IlośćRat,KwotaKredytu))</f>
        <v/>
      </c>
      <c r="L492" s="75">
        <v>0</v>
      </c>
      <c r="M492" s="76" t="str">
        <f>IFERROR(M491-J492-Kredyt1[[#This Row],[Nadpłata]],"")</f>
        <v/>
      </c>
    </row>
    <row r="493" spans="4:13">
      <c r="D493" s="70" t="str" cm="1">
        <f t="array" ref="D493">IF(ROW(488:488)&lt;=IlośćRat,ROW(488:488),"")</f>
        <v/>
      </c>
      <c r="E493" s="70" t="str">
        <f>IFERROR(ROUNDUP(Kredyt1[[#This Row],[Miesiąc kredytu]]/12,0),"")</f>
        <v/>
      </c>
      <c r="F493" s="71" t="str">
        <f t="shared" si="7"/>
        <v/>
      </c>
      <c r="G493" s="72" t="str" cm="1">
        <f t="array" ref="G493">IF(Kredyt1[[#This Row],[Data]]="","",WIBOR3M)</f>
        <v/>
      </c>
      <c r="H493" s="72" t="str" cm="1">
        <f t="array" ref="H493">IF(Kredyt1[[#This Row],[Data]]="","",G493+MarżaBAnku)</f>
        <v/>
      </c>
      <c r="I493" s="73" t="str">
        <f>IF(Kredyt1[[#This Row],[Data]]="","",Kredyt1[[#This Row],[Cała rata]]-Kredyt1[[#This Row],[Kapitał]])</f>
        <v/>
      </c>
      <c r="J493" s="74" t="str" cm="1">
        <f t="array" ref="J493">IFERROR(-PPMT(Kredyt1[[#This Row],[Oprocentowanie]]/12,Kredyt1[[#This Row],[Miesiąc kredytu]],IlośćRat,KwotaKredytu),"")</f>
        <v/>
      </c>
      <c r="K493" s="75" t="str" cm="1">
        <f t="array" ref="K493">IF(Kredyt1[[#This Row],[Miesiąc kredytu]]="","",-PMT(Kredyt1[[#This Row],[Oprocentowanie]]/12,IlośćRat,KwotaKredytu))</f>
        <v/>
      </c>
      <c r="L493" s="75">
        <v>0</v>
      </c>
      <c r="M493" s="76" t="str">
        <f>IFERROR(M492-J493-Kredyt1[[#This Row],[Nadpłata]],"")</f>
        <v/>
      </c>
    </row>
    <row r="494" spans="4:13">
      <c r="D494" s="70" t="str" cm="1">
        <f t="array" ref="D494">IF(ROW(489:489)&lt;=IlośćRat,ROW(489:489),"")</f>
        <v/>
      </c>
      <c r="E494" s="70" t="str">
        <f>IFERROR(ROUNDUP(Kredyt1[[#This Row],[Miesiąc kredytu]]/12,0),"")</f>
        <v/>
      </c>
      <c r="F494" s="71" t="str">
        <f t="shared" si="7"/>
        <v/>
      </c>
      <c r="G494" s="72" t="str" cm="1">
        <f t="array" ref="G494">IF(Kredyt1[[#This Row],[Data]]="","",WIBOR3M)</f>
        <v/>
      </c>
      <c r="H494" s="72" t="str" cm="1">
        <f t="array" ref="H494">IF(Kredyt1[[#This Row],[Data]]="","",G494+MarżaBAnku)</f>
        <v/>
      </c>
      <c r="I494" s="73" t="str">
        <f>IF(Kredyt1[[#This Row],[Data]]="","",Kredyt1[[#This Row],[Cała rata]]-Kredyt1[[#This Row],[Kapitał]])</f>
        <v/>
      </c>
      <c r="J494" s="74" t="str" cm="1">
        <f t="array" ref="J494">IFERROR(-PPMT(Kredyt1[[#This Row],[Oprocentowanie]]/12,Kredyt1[[#This Row],[Miesiąc kredytu]],IlośćRat,KwotaKredytu),"")</f>
        <v/>
      </c>
      <c r="K494" s="75" t="str" cm="1">
        <f t="array" ref="K494">IF(Kredyt1[[#This Row],[Miesiąc kredytu]]="","",-PMT(Kredyt1[[#This Row],[Oprocentowanie]]/12,IlośćRat,KwotaKredytu))</f>
        <v/>
      </c>
      <c r="L494" s="75">
        <v>0</v>
      </c>
      <c r="M494" s="76" t="str">
        <f>IFERROR(M493-J494-Kredyt1[[#This Row],[Nadpłata]],"")</f>
        <v/>
      </c>
    </row>
    <row r="495" spans="4:13">
      <c r="D495" s="70" t="str" cm="1">
        <f t="array" ref="D495">IF(ROW(490:490)&lt;=IlośćRat,ROW(490:490),"")</f>
        <v/>
      </c>
      <c r="E495" s="70" t="str">
        <f>IFERROR(ROUNDUP(Kredyt1[[#This Row],[Miesiąc kredytu]]/12,0),"")</f>
        <v/>
      </c>
      <c r="F495" s="71" t="str">
        <f t="shared" si="7"/>
        <v/>
      </c>
      <c r="G495" s="72" t="str" cm="1">
        <f t="array" ref="G495">IF(Kredyt1[[#This Row],[Data]]="","",WIBOR3M)</f>
        <v/>
      </c>
      <c r="H495" s="72" t="str" cm="1">
        <f t="array" ref="H495">IF(Kredyt1[[#This Row],[Data]]="","",G495+MarżaBAnku)</f>
        <v/>
      </c>
      <c r="I495" s="73" t="str">
        <f>IF(Kredyt1[[#This Row],[Data]]="","",Kredyt1[[#This Row],[Cała rata]]-Kredyt1[[#This Row],[Kapitał]])</f>
        <v/>
      </c>
      <c r="J495" s="74" t="str" cm="1">
        <f t="array" ref="J495">IFERROR(-PPMT(Kredyt1[[#This Row],[Oprocentowanie]]/12,Kredyt1[[#This Row],[Miesiąc kredytu]],IlośćRat,KwotaKredytu),"")</f>
        <v/>
      </c>
      <c r="K495" s="75" t="str" cm="1">
        <f t="array" ref="K495">IF(Kredyt1[[#This Row],[Miesiąc kredytu]]="","",-PMT(Kredyt1[[#This Row],[Oprocentowanie]]/12,IlośćRat,KwotaKredytu))</f>
        <v/>
      </c>
      <c r="L495" s="75">
        <v>0</v>
      </c>
      <c r="M495" s="76" t="str">
        <f>IFERROR(M494-J495-Kredyt1[[#This Row],[Nadpłata]],"")</f>
        <v/>
      </c>
    </row>
    <row r="496" spans="4:13">
      <c r="D496" s="70" t="str" cm="1">
        <f t="array" ref="D496">IF(ROW(491:491)&lt;=IlośćRat,ROW(491:491),"")</f>
        <v/>
      </c>
      <c r="E496" s="70" t="str">
        <f>IFERROR(ROUNDUP(Kredyt1[[#This Row],[Miesiąc kredytu]]/12,0),"")</f>
        <v/>
      </c>
      <c r="F496" s="71" t="str">
        <f t="shared" si="7"/>
        <v/>
      </c>
      <c r="G496" s="72" t="str" cm="1">
        <f t="array" ref="G496">IF(Kredyt1[[#This Row],[Data]]="","",WIBOR3M)</f>
        <v/>
      </c>
      <c r="H496" s="72" t="str" cm="1">
        <f t="array" ref="H496">IF(Kredyt1[[#This Row],[Data]]="","",G496+MarżaBAnku)</f>
        <v/>
      </c>
      <c r="I496" s="73" t="str">
        <f>IF(Kredyt1[[#This Row],[Data]]="","",Kredyt1[[#This Row],[Cała rata]]-Kredyt1[[#This Row],[Kapitał]])</f>
        <v/>
      </c>
      <c r="J496" s="74" t="str" cm="1">
        <f t="array" ref="J496">IFERROR(-PPMT(Kredyt1[[#This Row],[Oprocentowanie]]/12,Kredyt1[[#This Row],[Miesiąc kredytu]],IlośćRat,KwotaKredytu),"")</f>
        <v/>
      </c>
      <c r="K496" s="75" t="str" cm="1">
        <f t="array" ref="K496">IF(Kredyt1[[#This Row],[Miesiąc kredytu]]="","",-PMT(Kredyt1[[#This Row],[Oprocentowanie]]/12,IlośćRat,KwotaKredytu))</f>
        <v/>
      </c>
      <c r="L496" s="75">
        <v>0</v>
      </c>
      <c r="M496" s="76" t="str">
        <f>IFERROR(M495-J496-Kredyt1[[#This Row],[Nadpłata]],"")</f>
        <v/>
      </c>
    </row>
    <row r="497" spans="4:13">
      <c r="D497" s="70" t="str" cm="1">
        <f t="array" ref="D497">IF(ROW(492:492)&lt;=IlośćRat,ROW(492:492),"")</f>
        <v/>
      </c>
      <c r="E497" s="70" t="str">
        <f>IFERROR(ROUNDUP(Kredyt1[[#This Row],[Miesiąc kredytu]]/12,0),"")</f>
        <v/>
      </c>
      <c r="F497" s="71" t="str">
        <f t="shared" si="7"/>
        <v/>
      </c>
      <c r="G497" s="72" t="str" cm="1">
        <f t="array" ref="G497">IF(Kredyt1[[#This Row],[Data]]="","",WIBOR3M)</f>
        <v/>
      </c>
      <c r="H497" s="72" t="str" cm="1">
        <f t="array" ref="H497">IF(Kredyt1[[#This Row],[Data]]="","",G497+MarżaBAnku)</f>
        <v/>
      </c>
      <c r="I497" s="73" t="str">
        <f>IF(Kredyt1[[#This Row],[Data]]="","",Kredyt1[[#This Row],[Cała rata]]-Kredyt1[[#This Row],[Kapitał]])</f>
        <v/>
      </c>
      <c r="J497" s="74" t="str" cm="1">
        <f t="array" ref="J497">IFERROR(-PPMT(Kredyt1[[#This Row],[Oprocentowanie]]/12,Kredyt1[[#This Row],[Miesiąc kredytu]],IlośćRat,KwotaKredytu),"")</f>
        <v/>
      </c>
      <c r="K497" s="75" t="str" cm="1">
        <f t="array" ref="K497">IF(Kredyt1[[#This Row],[Miesiąc kredytu]]="","",-PMT(Kredyt1[[#This Row],[Oprocentowanie]]/12,IlośćRat,KwotaKredytu))</f>
        <v/>
      </c>
      <c r="L497" s="75">
        <v>0</v>
      </c>
      <c r="M497" s="76" t="str">
        <f>IFERROR(M496-J497-Kredyt1[[#This Row],[Nadpłata]],"")</f>
        <v/>
      </c>
    </row>
    <row r="498" spans="4:13">
      <c r="D498" s="70" t="str" cm="1">
        <f t="array" ref="D498">IF(ROW(493:493)&lt;=IlośćRat,ROW(493:493),"")</f>
        <v/>
      </c>
      <c r="E498" s="70" t="str">
        <f>IFERROR(ROUNDUP(Kredyt1[[#This Row],[Miesiąc kredytu]]/12,0),"")</f>
        <v/>
      </c>
      <c r="F498" s="71" t="str">
        <f t="shared" si="7"/>
        <v/>
      </c>
      <c r="G498" s="72" t="str" cm="1">
        <f t="array" ref="G498">IF(Kredyt1[[#This Row],[Data]]="","",WIBOR3M)</f>
        <v/>
      </c>
      <c r="H498" s="72" t="str" cm="1">
        <f t="array" ref="H498">IF(Kredyt1[[#This Row],[Data]]="","",G498+MarżaBAnku)</f>
        <v/>
      </c>
      <c r="I498" s="73" t="str">
        <f>IF(Kredyt1[[#This Row],[Data]]="","",Kredyt1[[#This Row],[Cała rata]]-Kredyt1[[#This Row],[Kapitał]])</f>
        <v/>
      </c>
      <c r="J498" s="74" t="str" cm="1">
        <f t="array" ref="J498">IFERROR(-PPMT(Kredyt1[[#This Row],[Oprocentowanie]]/12,Kredyt1[[#This Row],[Miesiąc kredytu]],IlośćRat,KwotaKredytu),"")</f>
        <v/>
      </c>
      <c r="K498" s="75" t="str" cm="1">
        <f t="array" ref="K498">IF(Kredyt1[[#This Row],[Miesiąc kredytu]]="","",-PMT(Kredyt1[[#This Row],[Oprocentowanie]]/12,IlośćRat,KwotaKredytu))</f>
        <v/>
      </c>
      <c r="L498" s="75">
        <v>0</v>
      </c>
      <c r="M498" s="76" t="str">
        <f>IFERROR(M497-J498-Kredyt1[[#This Row],[Nadpłata]],"")</f>
        <v/>
      </c>
    </row>
    <row r="499" spans="4:13">
      <c r="D499" s="70" t="str" cm="1">
        <f t="array" ref="D499">IF(ROW(494:494)&lt;=IlośćRat,ROW(494:494),"")</f>
        <v/>
      </c>
      <c r="E499" s="70" t="str">
        <f>IFERROR(ROUNDUP(Kredyt1[[#This Row],[Miesiąc kredytu]]/12,0),"")</f>
        <v/>
      </c>
      <c r="F499" s="71" t="str">
        <f t="shared" si="7"/>
        <v/>
      </c>
      <c r="G499" s="72" t="str" cm="1">
        <f t="array" ref="G499">IF(Kredyt1[[#This Row],[Data]]="","",WIBOR3M)</f>
        <v/>
      </c>
      <c r="H499" s="72" t="str" cm="1">
        <f t="array" ref="H499">IF(Kredyt1[[#This Row],[Data]]="","",G499+MarżaBAnku)</f>
        <v/>
      </c>
      <c r="I499" s="73" t="str">
        <f>IF(Kredyt1[[#This Row],[Data]]="","",Kredyt1[[#This Row],[Cała rata]]-Kredyt1[[#This Row],[Kapitał]])</f>
        <v/>
      </c>
      <c r="J499" s="74" t="str" cm="1">
        <f t="array" ref="J499">IFERROR(-PPMT(Kredyt1[[#This Row],[Oprocentowanie]]/12,Kredyt1[[#This Row],[Miesiąc kredytu]],IlośćRat,KwotaKredytu),"")</f>
        <v/>
      </c>
      <c r="K499" s="75" t="str" cm="1">
        <f t="array" ref="K499">IF(Kredyt1[[#This Row],[Miesiąc kredytu]]="","",-PMT(Kredyt1[[#This Row],[Oprocentowanie]]/12,IlośćRat,KwotaKredytu))</f>
        <v/>
      </c>
      <c r="L499" s="75">
        <v>0</v>
      </c>
      <c r="M499" s="76" t="str">
        <f>IFERROR(M498-J499-Kredyt1[[#This Row],[Nadpłata]],"")</f>
        <v/>
      </c>
    </row>
    <row r="500" spans="4:13">
      <c r="D500" s="70" t="str" cm="1">
        <f t="array" ref="D500">IF(ROW(495:495)&lt;=IlośćRat,ROW(495:495),"")</f>
        <v/>
      </c>
      <c r="E500" s="70" t="str">
        <f>IFERROR(ROUNDUP(Kredyt1[[#This Row],[Miesiąc kredytu]]/12,0),"")</f>
        <v/>
      </c>
      <c r="F500" s="71" t="str">
        <f t="shared" si="7"/>
        <v/>
      </c>
      <c r="G500" s="72" t="str" cm="1">
        <f t="array" ref="G500">IF(Kredyt1[[#This Row],[Data]]="","",WIBOR3M)</f>
        <v/>
      </c>
      <c r="H500" s="72" t="str" cm="1">
        <f t="array" ref="H500">IF(Kredyt1[[#This Row],[Data]]="","",G500+MarżaBAnku)</f>
        <v/>
      </c>
      <c r="I500" s="73" t="str">
        <f>IF(Kredyt1[[#This Row],[Data]]="","",Kredyt1[[#This Row],[Cała rata]]-Kredyt1[[#This Row],[Kapitał]])</f>
        <v/>
      </c>
      <c r="J500" s="74" t="str" cm="1">
        <f t="array" ref="J500">IFERROR(-PPMT(Kredyt1[[#This Row],[Oprocentowanie]]/12,Kredyt1[[#This Row],[Miesiąc kredytu]],IlośćRat,KwotaKredytu),"")</f>
        <v/>
      </c>
      <c r="K500" s="75" t="str" cm="1">
        <f t="array" ref="K500">IF(Kredyt1[[#This Row],[Miesiąc kredytu]]="","",-PMT(Kredyt1[[#This Row],[Oprocentowanie]]/12,IlośćRat,KwotaKredytu))</f>
        <v/>
      </c>
      <c r="L500" s="75">
        <v>0</v>
      </c>
      <c r="M500" s="76" t="str">
        <f>IFERROR(M499-J500-Kredyt1[[#This Row],[Nadpłata]],"")</f>
        <v/>
      </c>
    </row>
    <row r="501" spans="4:13">
      <c r="D501" s="70" t="str" cm="1">
        <f t="array" ref="D501">IF(ROW(496:496)&lt;=IlośćRat,ROW(496:496),"")</f>
        <v/>
      </c>
      <c r="E501" s="70" t="str">
        <f>IFERROR(ROUNDUP(Kredyt1[[#This Row],[Miesiąc kredytu]]/12,0),"")</f>
        <v/>
      </c>
      <c r="F501" s="71" t="str">
        <f t="shared" si="7"/>
        <v/>
      </c>
      <c r="G501" s="72" t="str" cm="1">
        <f t="array" ref="G501">IF(Kredyt1[[#This Row],[Data]]="","",WIBOR3M)</f>
        <v/>
      </c>
      <c r="H501" s="72" t="str" cm="1">
        <f t="array" ref="H501">IF(Kredyt1[[#This Row],[Data]]="","",G501+MarżaBAnku)</f>
        <v/>
      </c>
      <c r="I501" s="73" t="str">
        <f>IF(Kredyt1[[#This Row],[Data]]="","",Kredyt1[[#This Row],[Cała rata]]-Kredyt1[[#This Row],[Kapitał]])</f>
        <v/>
      </c>
      <c r="J501" s="74" t="str" cm="1">
        <f t="array" ref="J501">IFERROR(-PPMT(Kredyt1[[#This Row],[Oprocentowanie]]/12,Kredyt1[[#This Row],[Miesiąc kredytu]],IlośćRat,KwotaKredytu),"")</f>
        <v/>
      </c>
      <c r="K501" s="75" t="str" cm="1">
        <f t="array" ref="K501">IF(Kredyt1[[#This Row],[Miesiąc kredytu]]="","",-PMT(Kredyt1[[#This Row],[Oprocentowanie]]/12,IlośćRat,KwotaKredytu))</f>
        <v/>
      </c>
      <c r="L501" s="75">
        <v>0</v>
      </c>
      <c r="M501" s="76" t="str">
        <f>IFERROR(M500-J501-Kredyt1[[#This Row],[Nadpłata]],"")</f>
        <v/>
      </c>
    </row>
    <row r="502" spans="4:13">
      <c r="D502" s="70" t="str" cm="1">
        <f t="array" ref="D502">IF(ROW(497:497)&lt;=IlośćRat,ROW(497:497),"")</f>
        <v/>
      </c>
      <c r="E502" s="70" t="str">
        <f>IFERROR(ROUNDUP(Kredyt1[[#This Row],[Miesiąc kredytu]]/12,0),"")</f>
        <v/>
      </c>
      <c r="F502" s="71" t="str">
        <f t="shared" si="7"/>
        <v/>
      </c>
      <c r="G502" s="72" t="str" cm="1">
        <f t="array" ref="G502">IF(Kredyt1[[#This Row],[Data]]="","",WIBOR3M)</f>
        <v/>
      </c>
      <c r="H502" s="72" t="str" cm="1">
        <f t="array" ref="H502">IF(Kredyt1[[#This Row],[Data]]="","",G502+MarżaBAnku)</f>
        <v/>
      </c>
      <c r="I502" s="73" t="str">
        <f>IF(Kredyt1[[#This Row],[Data]]="","",Kredyt1[[#This Row],[Cała rata]]-Kredyt1[[#This Row],[Kapitał]])</f>
        <v/>
      </c>
      <c r="J502" s="74" t="str" cm="1">
        <f t="array" ref="J502">IFERROR(-PPMT(Kredyt1[[#This Row],[Oprocentowanie]]/12,Kredyt1[[#This Row],[Miesiąc kredytu]],IlośćRat,KwotaKredytu),"")</f>
        <v/>
      </c>
      <c r="K502" s="75" t="str" cm="1">
        <f t="array" ref="K502">IF(Kredyt1[[#This Row],[Miesiąc kredytu]]="","",-PMT(Kredyt1[[#This Row],[Oprocentowanie]]/12,IlośćRat,KwotaKredytu))</f>
        <v/>
      </c>
      <c r="L502" s="75">
        <v>0</v>
      </c>
      <c r="M502" s="76" t="str">
        <f>IFERROR(M501-J502-Kredyt1[[#This Row],[Nadpłata]],"")</f>
        <v/>
      </c>
    </row>
    <row r="503" spans="4:13">
      <c r="D503" s="70" t="str" cm="1">
        <f t="array" ref="D503">IF(ROW(498:498)&lt;=IlośćRat,ROW(498:498),"")</f>
        <v/>
      </c>
      <c r="E503" s="70" t="str">
        <f>IFERROR(ROUNDUP(Kredyt1[[#This Row],[Miesiąc kredytu]]/12,0),"")</f>
        <v/>
      </c>
      <c r="F503" s="71" t="str">
        <f t="shared" si="7"/>
        <v/>
      </c>
      <c r="G503" s="72" t="str" cm="1">
        <f t="array" ref="G503">IF(Kredyt1[[#This Row],[Data]]="","",WIBOR3M)</f>
        <v/>
      </c>
      <c r="H503" s="72" t="str" cm="1">
        <f t="array" ref="H503">IF(Kredyt1[[#This Row],[Data]]="","",G503+MarżaBAnku)</f>
        <v/>
      </c>
      <c r="I503" s="73" t="str">
        <f>IF(Kredyt1[[#This Row],[Data]]="","",Kredyt1[[#This Row],[Cała rata]]-Kredyt1[[#This Row],[Kapitał]])</f>
        <v/>
      </c>
      <c r="J503" s="74" t="str" cm="1">
        <f t="array" ref="J503">IFERROR(-PPMT(Kredyt1[[#This Row],[Oprocentowanie]]/12,Kredyt1[[#This Row],[Miesiąc kredytu]],IlośćRat,KwotaKredytu),"")</f>
        <v/>
      </c>
      <c r="K503" s="75" t="str" cm="1">
        <f t="array" ref="K503">IF(Kredyt1[[#This Row],[Miesiąc kredytu]]="","",-PMT(Kredyt1[[#This Row],[Oprocentowanie]]/12,IlośćRat,KwotaKredytu))</f>
        <v/>
      </c>
      <c r="L503" s="75">
        <v>0</v>
      </c>
      <c r="M503" s="76" t="str">
        <f>IFERROR(M502-J503-Kredyt1[[#This Row],[Nadpłata]],"")</f>
        <v/>
      </c>
    </row>
    <row r="504" spans="4:13">
      <c r="D504" s="70" t="str" cm="1">
        <f t="array" ref="D504">IF(ROW(499:499)&lt;=IlośćRat,ROW(499:499),"")</f>
        <v/>
      </c>
      <c r="E504" s="70" t="str">
        <f>IFERROR(ROUNDUP(Kredyt1[[#This Row],[Miesiąc kredytu]]/12,0),"")</f>
        <v/>
      </c>
      <c r="F504" s="71" t="str">
        <f t="shared" si="7"/>
        <v/>
      </c>
      <c r="G504" s="72" t="str" cm="1">
        <f t="array" ref="G504">IF(Kredyt1[[#This Row],[Data]]="","",WIBOR3M)</f>
        <v/>
      </c>
      <c r="H504" s="72" t="str" cm="1">
        <f t="array" ref="H504">IF(Kredyt1[[#This Row],[Data]]="","",G504+MarżaBAnku)</f>
        <v/>
      </c>
      <c r="I504" s="73" t="str">
        <f>IF(Kredyt1[[#This Row],[Data]]="","",Kredyt1[[#This Row],[Cała rata]]-Kredyt1[[#This Row],[Kapitał]])</f>
        <v/>
      </c>
      <c r="J504" s="74" t="str" cm="1">
        <f t="array" ref="J504">IFERROR(-PPMT(Kredyt1[[#This Row],[Oprocentowanie]]/12,Kredyt1[[#This Row],[Miesiąc kredytu]],IlośćRat,KwotaKredytu),"")</f>
        <v/>
      </c>
      <c r="K504" s="75" t="str" cm="1">
        <f t="array" ref="K504">IF(Kredyt1[[#This Row],[Miesiąc kredytu]]="","",-PMT(Kredyt1[[#This Row],[Oprocentowanie]]/12,IlośćRat,KwotaKredytu))</f>
        <v/>
      </c>
      <c r="L504" s="75">
        <v>0</v>
      </c>
      <c r="M504" s="76" t="str">
        <f>IFERROR(M503-J504-Kredyt1[[#This Row],[Nadpłata]],"")</f>
        <v/>
      </c>
    </row>
    <row r="505" spans="4:13">
      <c r="D505" s="70" t="str" cm="1">
        <f t="array" ref="D505">IF(ROW(500:500)&lt;=IlośćRat,ROW(500:500),"")</f>
        <v/>
      </c>
      <c r="E505" s="70" t="str">
        <f>IFERROR(ROUNDUP(Kredyt1[[#This Row],[Miesiąc kredytu]]/12,0),"")</f>
        <v/>
      </c>
      <c r="F505" s="71" t="str">
        <f t="shared" si="7"/>
        <v/>
      </c>
      <c r="G505" s="72" t="str" cm="1">
        <f t="array" ref="G505">IF(Kredyt1[[#This Row],[Data]]="","",WIBOR3M)</f>
        <v/>
      </c>
      <c r="H505" s="72" t="str" cm="1">
        <f t="array" ref="H505">IF(Kredyt1[[#This Row],[Data]]="","",G505+MarżaBAnku)</f>
        <v/>
      </c>
      <c r="I505" s="73" t="str">
        <f>IF(Kredyt1[[#This Row],[Data]]="","",Kredyt1[[#This Row],[Cała rata]]-Kredyt1[[#This Row],[Kapitał]])</f>
        <v/>
      </c>
      <c r="J505" s="74" t="str" cm="1">
        <f t="array" ref="J505">IFERROR(-PPMT(Kredyt1[[#This Row],[Oprocentowanie]]/12,Kredyt1[[#This Row],[Miesiąc kredytu]],IlośćRat,KwotaKredytu),"")</f>
        <v/>
      </c>
      <c r="K505" s="75" t="str" cm="1">
        <f t="array" ref="K505">IF(Kredyt1[[#This Row],[Miesiąc kredytu]]="","",-PMT(Kredyt1[[#This Row],[Oprocentowanie]]/12,IlośćRat,KwotaKredytu))</f>
        <v/>
      </c>
      <c r="L505" s="75">
        <v>0</v>
      </c>
      <c r="M505" s="76" t="str">
        <f>IFERROR(M504-J505-Kredyt1[[#This Row],[Nadpłata]],"")</f>
        <v/>
      </c>
    </row>
    <row r="506" spans="4:13">
      <c r="D506" s="70" t="str" cm="1">
        <f t="array" ref="D506">IF(ROW(501:501)&lt;=IlośćRat,ROW(501:501),"")</f>
        <v/>
      </c>
      <c r="E506" s="70" t="str">
        <f>IFERROR(ROUNDUP(Kredyt1[[#This Row],[Miesiąc kredytu]]/12,0),"")</f>
        <v/>
      </c>
      <c r="F506" s="71" t="str">
        <f t="shared" si="7"/>
        <v/>
      </c>
      <c r="G506" s="72" t="str" cm="1">
        <f t="array" ref="G506">IF(Kredyt1[[#This Row],[Data]]="","",WIBOR3M)</f>
        <v/>
      </c>
      <c r="H506" s="72" t="str" cm="1">
        <f t="array" ref="H506">IF(Kredyt1[[#This Row],[Data]]="","",G506+MarżaBAnku)</f>
        <v/>
      </c>
      <c r="I506" s="73" t="str">
        <f>IF(Kredyt1[[#This Row],[Data]]="","",Kredyt1[[#This Row],[Cała rata]]-Kredyt1[[#This Row],[Kapitał]])</f>
        <v/>
      </c>
      <c r="J506" s="74" t="str" cm="1">
        <f t="array" ref="J506">IFERROR(-PPMT(Kredyt1[[#This Row],[Oprocentowanie]]/12,Kredyt1[[#This Row],[Miesiąc kredytu]],IlośćRat,KwotaKredytu),"")</f>
        <v/>
      </c>
      <c r="K506" s="75" t="str" cm="1">
        <f t="array" ref="K506">IF(Kredyt1[[#This Row],[Miesiąc kredytu]]="","",-PMT(Kredyt1[[#This Row],[Oprocentowanie]]/12,IlośćRat,KwotaKredytu))</f>
        <v/>
      </c>
      <c r="L506" s="75">
        <v>0</v>
      </c>
      <c r="M506" s="76" t="str">
        <f>IFERROR(M505-J506-Kredyt1[[#This Row],[Nadpłata]],"")</f>
        <v/>
      </c>
    </row>
    <row r="507" spans="4:13">
      <c r="D507" s="70" t="str" cm="1">
        <f t="array" ref="D507">IF(ROW(502:502)&lt;=IlośćRat,ROW(502:502),"")</f>
        <v/>
      </c>
      <c r="E507" s="70" t="str">
        <f>IFERROR(ROUNDUP(Kredyt1[[#This Row],[Miesiąc kredytu]]/12,0),"")</f>
        <v/>
      </c>
      <c r="F507" s="71" t="str">
        <f t="shared" si="7"/>
        <v/>
      </c>
      <c r="G507" s="72" t="str" cm="1">
        <f t="array" ref="G507">IF(Kredyt1[[#This Row],[Data]]="","",WIBOR3M)</f>
        <v/>
      </c>
      <c r="H507" s="72" t="str" cm="1">
        <f t="array" ref="H507">IF(Kredyt1[[#This Row],[Data]]="","",G507+MarżaBAnku)</f>
        <v/>
      </c>
      <c r="I507" s="73" t="str">
        <f>IF(Kredyt1[[#This Row],[Data]]="","",Kredyt1[[#This Row],[Cała rata]]-Kredyt1[[#This Row],[Kapitał]])</f>
        <v/>
      </c>
      <c r="J507" s="74" t="str" cm="1">
        <f t="array" ref="J507">IFERROR(-PPMT(Kredyt1[[#This Row],[Oprocentowanie]]/12,Kredyt1[[#This Row],[Miesiąc kredytu]],IlośćRat,KwotaKredytu),"")</f>
        <v/>
      </c>
      <c r="K507" s="75" t="str" cm="1">
        <f t="array" ref="K507">IF(Kredyt1[[#This Row],[Miesiąc kredytu]]="","",-PMT(Kredyt1[[#This Row],[Oprocentowanie]]/12,IlośćRat,KwotaKredytu))</f>
        <v/>
      </c>
      <c r="L507" s="75">
        <v>0</v>
      </c>
      <c r="M507" s="76" t="str">
        <f>IFERROR(M506-J507-Kredyt1[[#This Row],[Nadpłata]],"")</f>
        <v/>
      </c>
    </row>
    <row r="508" spans="4:13">
      <c r="D508" s="70" t="str" cm="1">
        <f t="array" ref="D508">IF(ROW(503:503)&lt;=IlośćRat,ROW(503:503),"")</f>
        <v/>
      </c>
      <c r="E508" s="70" t="str">
        <f>IFERROR(ROUNDUP(Kredyt1[[#This Row],[Miesiąc kredytu]]/12,0),"")</f>
        <v/>
      </c>
      <c r="F508" s="71" t="str">
        <f t="shared" si="7"/>
        <v/>
      </c>
      <c r="G508" s="72" t="str" cm="1">
        <f t="array" ref="G508">IF(Kredyt1[[#This Row],[Data]]="","",WIBOR3M)</f>
        <v/>
      </c>
      <c r="H508" s="72" t="str" cm="1">
        <f t="array" ref="H508">IF(Kredyt1[[#This Row],[Data]]="","",G508+MarżaBAnku)</f>
        <v/>
      </c>
      <c r="I508" s="73" t="str">
        <f>IF(Kredyt1[[#This Row],[Data]]="","",Kredyt1[[#This Row],[Cała rata]]-Kredyt1[[#This Row],[Kapitał]])</f>
        <v/>
      </c>
      <c r="J508" s="74" t="str" cm="1">
        <f t="array" ref="J508">IFERROR(-PPMT(Kredyt1[[#This Row],[Oprocentowanie]]/12,Kredyt1[[#This Row],[Miesiąc kredytu]],IlośćRat,KwotaKredytu),"")</f>
        <v/>
      </c>
      <c r="K508" s="75" t="str" cm="1">
        <f t="array" ref="K508">IF(Kredyt1[[#This Row],[Miesiąc kredytu]]="","",-PMT(Kredyt1[[#This Row],[Oprocentowanie]]/12,IlośćRat,KwotaKredytu))</f>
        <v/>
      </c>
      <c r="L508" s="75">
        <v>0</v>
      </c>
      <c r="M508" s="76" t="str">
        <f>IFERROR(M507-J508-Kredyt1[[#This Row],[Nadpłata]],"")</f>
        <v/>
      </c>
    </row>
    <row r="509" spans="4:13">
      <c r="D509" s="70" t="str" cm="1">
        <f t="array" ref="D509">IF(ROW(504:504)&lt;=IlośćRat,ROW(504:504),"")</f>
        <v/>
      </c>
      <c r="E509" s="70" t="str">
        <f>IFERROR(ROUNDUP(Kredyt1[[#This Row],[Miesiąc kredytu]]/12,0),"")</f>
        <v/>
      </c>
      <c r="F509" s="71" t="str">
        <f t="shared" si="7"/>
        <v/>
      </c>
      <c r="G509" s="72" t="str" cm="1">
        <f t="array" ref="G509">IF(Kredyt1[[#This Row],[Data]]="","",WIBOR3M)</f>
        <v/>
      </c>
      <c r="H509" s="72" t="str" cm="1">
        <f t="array" ref="H509">IF(Kredyt1[[#This Row],[Data]]="","",G509+MarżaBAnku)</f>
        <v/>
      </c>
      <c r="I509" s="73" t="str">
        <f>IF(Kredyt1[[#This Row],[Data]]="","",Kredyt1[[#This Row],[Cała rata]]-Kredyt1[[#This Row],[Kapitał]])</f>
        <v/>
      </c>
      <c r="J509" s="74" t="str" cm="1">
        <f t="array" ref="J509">IFERROR(-PPMT(Kredyt1[[#This Row],[Oprocentowanie]]/12,Kredyt1[[#This Row],[Miesiąc kredytu]],IlośćRat,KwotaKredytu),"")</f>
        <v/>
      </c>
      <c r="K509" s="75" t="str" cm="1">
        <f t="array" ref="K509">IF(Kredyt1[[#This Row],[Miesiąc kredytu]]="","",-PMT(Kredyt1[[#This Row],[Oprocentowanie]]/12,IlośćRat,KwotaKredytu))</f>
        <v/>
      </c>
      <c r="L509" s="75">
        <v>0</v>
      </c>
      <c r="M509" s="76" t="str">
        <f>IFERROR(M508-J509-Kredyt1[[#This Row],[Nadpłata]],"")</f>
        <v/>
      </c>
    </row>
    <row r="510" spans="4:13">
      <c r="D510" s="70" t="str" cm="1">
        <f t="array" ref="D510">IF(ROW(505:505)&lt;=IlośćRat,ROW(505:505),"")</f>
        <v/>
      </c>
      <c r="E510" s="70" t="str">
        <f>IFERROR(ROUNDUP(Kredyt1[[#This Row],[Miesiąc kredytu]]/12,0),"")</f>
        <v/>
      </c>
      <c r="F510" s="71" t="str">
        <f t="shared" si="7"/>
        <v/>
      </c>
      <c r="G510" s="72" t="str" cm="1">
        <f t="array" ref="G510">IF(Kredyt1[[#This Row],[Data]]="","",WIBOR3M)</f>
        <v/>
      </c>
      <c r="H510" s="72" t="str" cm="1">
        <f t="array" ref="H510">IF(Kredyt1[[#This Row],[Data]]="","",G510+MarżaBAnku)</f>
        <v/>
      </c>
      <c r="I510" s="73" t="str">
        <f>IF(Kredyt1[[#This Row],[Data]]="","",Kredyt1[[#This Row],[Cała rata]]-Kredyt1[[#This Row],[Kapitał]])</f>
        <v/>
      </c>
      <c r="J510" s="74" t="str" cm="1">
        <f t="array" ref="J510">IFERROR(-PPMT(Kredyt1[[#This Row],[Oprocentowanie]]/12,Kredyt1[[#This Row],[Miesiąc kredytu]],IlośćRat,KwotaKredytu),"")</f>
        <v/>
      </c>
      <c r="K510" s="75" t="str" cm="1">
        <f t="array" ref="K510">IF(Kredyt1[[#This Row],[Miesiąc kredytu]]="","",-PMT(Kredyt1[[#This Row],[Oprocentowanie]]/12,IlośćRat,KwotaKredytu))</f>
        <v/>
      </c>
      <c r="L510" s="75">
        <v>0</v>
      </c>
      <c r="M510" s="76" t="str">
        <f>IFERROR(M509-J510-Kredyt1[[#This Row],[Nadpłata]],"")</f>
        <v/>
      </c>
    </row>
    <row r="511" spans="4:13">
      <c r="D511" s="70" t="str" cm="1">
        <f t="array" ref="D511">IF(ROW(506:506)&lt;=IlośćRat,ROW(506:506),"")</f>
        <v/>
      </c>
      <c r="E511" s="70" t="str">
        <f>IFERROR(ROUNDUP(Kredyt1[[#This Row],[Miesiąc kredytu]]/12,0),"")</f>
        <v/>
      </c>
      <c r="F511" s="71" t="str">
        <f t="shared" si="7"/>
        <v/>
      </c>
      <c r="G511" s="72" t="str" cm="1">
        <f t="array" ref="G511">IF(Kredyt1[[#This Row],[Data]]="","",WIBOR3M)</f>
        <v/>
      </c>
      <c r="H511" s="72" t="str" cm="1">
        <f t="array" ref="H511">IF(Kredyt1[[#This Row],[Data]]="","",G511+MarżaBAnku)</f>
        <v/>
      </c>
      <c r="I511" s="73" t="str">
        <f>IF(Kredyt1[[#This Row],[Data]]="","",Kredyt1[[#This Row],[Cała rata]]-Kredyt1[[#This Row],[Kapitał]])</f>
        <v/>
      </c>
      <c r="J511" s="74" t="str" cm="1">
        <f t="array" ref="J511">IFERROR(-PPMT(Kredyt1[[#This Row],[Oprocentowanie]]/12,Kredyt1[[#This Row],[Miesiąc kredytu]],IlośćRat,KwotaKredytu),"")</f>
        <v/>
      </c>
      <c r="K511" s="75" t="str" cm="1">
        <f t="array" ref="K511">IF(Kredyt1[[#This Row],[Miesiąc kredytu]]="","",-PMT(Kredyt1[[#This Row],[Oprocentowanie]]/12,IlośćRat,KwotaKredytu))</f>
        <v/>
      </c>
      <c r="L511" s="75">
        <v>0</v>
      </c>
      <c r="M511" s="76" t="str">
        <f>IFERROR(M510-J511-Kredyt1[[#This Row],[Nadpłata]],"")</f>
        <v/>
      </c>
    </row>
    <row r="512" spans="4:13">
      <c r="D512" s="70" t="str" cm="1">
        <f t="array" ref="D512">IF(ROW(507:507)&lt;=IlośćRat,ROW(507:507),"")</f>
        <v/>
      </c>
      <c r="E512" s="70" t="str">
        <f>IFERROR(ROUNDUP(Kredyt1[[#This Row],[Miesiąc kredytu]]/12,0),"")</f>
        <v/>
      </c>
      <c r="F512" s="71" t="str">
        <f t="shared" si="7"/>
        <v/>
      </c>
      <c r="G512" s="72" t="str" cm="1">
        <f t="array" ref="G512">IF(Kredyt1[[#This Row],[Data]]="","",WIBOR3M)</f>
        <v/>
      </c>
      <c r="H512" s="72" t="str" cm="1">
        <f t="array" ref="H512">IF(Kredyt1[[#This Row],[Data]]="","",G512+MarżaBAnku)</f>
        <v/>
      </c>
      <c r="I512" s="73" t="str">
        <f>IF(Kredyt1[[#This Row],[Data]]="","",Kredyt1[[#This Row],[Cała rata]]-Kredyt1[[#This Row],[Kapitał]])</f>
        <v/>
      </c>
      <c r="J512" s="74" t="str" cm="1">
        <f t="array" ref="J512">IFERROR(-PPMT(Kredyt1[[#This Row],[Oprocentowanie]]/12,Kredyt1[[#This Row],[Miesiąc kredytu]],IlośćRat,KwotaKredytu),"")</f>
        <v/>
      </c>
      <c r="K512" s="75" t="str" cm="1">
        <f t="array" ref="K512">IF(Kredyt1[[#This Row],[Miesiąc kredytu]]="","",-PMT(Kredyt1[[#This Row],[Oprocentowanie]]/12,IlośćRat,KwotaKredytu))</f>
        <v/>
      </c>
      <c r="L512" s="75">
        <v>0</v>
      </c>
      <c r="M512" s="76" t="str">
        <f>IFERROR(M511-J512-Kredyt1[[#This Row],[Nadpłata]],"")</f>
        <v/>
      </c>
    </row>
    <row r="513" spans="4:13">
      <c r="D513" s="70" t="str" cm="1">
        <f t="array" ref="D513">IF(ROW(508:508)&lt;=IlośćRat,ROW(508:508),"")</f>
        <v/>
      </c>
      <c r="E513" s="70" t="str">
        <f>IFERROR(ROUNDUP(Kredyt1[[#This Row],[Miesiąc kredytu]]/12,0),"")</f>
        <v/>
      </c>
      <c r="F513" s="71" t="str">
        <f t="shared" si="7"/>
        <v/>
      </c>
      <c r="G513" s="72" t="str" cm="1">
        <f t="array" ref="G513">IF(Kredyt1[[#This Row],[Data]]="","",WIBOR3M)</f>
        <v/>
      </c>
      <c r="H513" s="72" t="str" cm="1">
        <f t="array" ref="H513">IF(Kredyt1[[#This Row],[Data]]="","",G513+MarżaBAnku)</f>
        <v/>
      </c>
      <c r="I513" s="73" t="str">
        <f>IF(Kredyt1[[#This Row],[Data]]="","",Kredyt1[[#This Row],[Cała rata]]-Kredyt1[[#This Row],[Kapitał]])</f>
        <v/>
      </c>
      <c r="J513" s="74" t="str" cm="1">
        <f t="array" ref="J513">IFERROR(-PPMT(Kredyt1[[#This Row],[Oprocentowanie]]/12,Kredyt1[[#This Row],[Miesiąc kredytu]],IlośćRat,KwotaKredytu),"")</f>
        <v/>
      </c>
      <c r="K513" s="75" t="str" cm="1">
        <f t="array" ref="K513">IF(Kredyt1[[#This Row],[Miesiąc kredytu]]="","",-PMT(Kredyt1[[#This Row],[Oprocentowanie]]/12,IlośćRat,KwotaKredytu))</f>
        <v/>
      </c>
      <c r="L513" s="75">
        <v>0</v>
      </c>
      <c r="M513" s="76" t="str">
        <f>IFERROR(M512-J513-Kredyt1[[#This Row],[Nadpłata]],"")</f>
        <v/>
      </c>
    </row>
    <row r="514" spans="4:13">
      <c r="D514" s="70" t="str" cm="1">
        <f t="array" ref="D514">IF(ROW(509:509)&lt;=IlośćRat,ROW(509:509),"")</f>
        <v/>
      </c>
      <c r="E514" s="70" t="str">
        <f>IFERROR(ROUNDUP(Kredyt1[[#This Row],[Miesiąc kredytu]]/12,0),"")</f>
        <v/>
      </c>
      <c r="F514" s="71" t="str">
        <f t="shared" si="7"/>
        <v/>
      </c>
      <c r="G514" s="72" t="str" cm="1">
        <f t="array" ref="G514">IF(Kredyt1[[#This Row],[Data]]="","",WIBOR3M)</f>
        <v/>
      </c>
      <c r="H514" s="72" t="str" cm="1">
        <f t="array" ref="H514">IF(Kredyt1[[#This Row],[Data]]="","",G514+MarżaBAnku)</f>
        <v/>
      </c>
      <c r="I514" s="73" t="str">
        <f>IF(Kredyt1[[#This Row],[Data]]="","",Kredyt1[[#This Row],[Cała rata]]-Kredyt1[[#This Row],[Kapitał]])</f>
        <v/>
      </c>
      <c r="J514" s="74" t="str" cm="1">
        <f t="array" ref="J514">IFERROR(-PPMT(Kredyt1[[#This Row],[Oprocentowanie]]/12,Kredyt1[[#This Row],[Miesiąc kredytu]],IlośćRat,KwotaKredytu),"")</f>
        <v/>
      </c>
      <c r="K514" s="75" t="str" cm="1">
        <f t="array" ref="K514">IF(Kredyt1[[#This Row],[Miesiąc kredytu]]="","",-PMT(Kredyt1[[#This Row],[Oprocentowanie]]/12,IlośćRat,KwotaKredytu))</f>
        <v/>
      </c>
      <c r="L514" s="75">
        <v>0</v>
      </c>
      <c r="M514" s="76" t="str">
        <f>IFERROR(M513-J514-Kredyt1[[#This Row],[Nadpłata]],"")</f>
        <v/>
      </c>
    </row>
    <row r="515" spans="4:13">
      <c r="D515" s="70" t="str" cm="1">
        <f t="array" ref="D515">IF(ROW(510:510)&lt;=IlośćRat,ROW(510:510),"")</f>
        <v/>
      </c>
      <c r="E515" s="70" t="str">
        <f>IFERROR(ROUNDUP(Kredyt1[[#This Row],[Miesiąc kredytu]]/12,0),"")</f>
        <v/>
      </c>
      <c r="F515" s="71" t="str">
        <f t="shared" si="7"/>
        <v/>
      </c>
      <c r="G515" s="72" t="str" cm="1">
        <f t="array" ref="G515">IF(Kredyt1[[#This Row],[Data]]="","",WIBOR3M)</f>
        <v/>
      </c>
      <c r="H515" s="72" t="str" cm="1">
        <f t="array" ref="H515">IF(Kredyt1[[#This Row],[Data]]="","",G515+MarżaBAnku)</f>
        <v/>
      </c>
      <c r="I515" s="73" t="str">
        <f>IF(Kredyt1[[#This Row],[Data]]="","",Kredyt1[[#This Row],[Cała rata]]-Kredyt1[[#This Row],[Kapitał]])</f>
        <v/>
      </c>
      <c r="J515" s="74" t="str" cm="1">
        <f t="array" ref="J515">IFERROR(-PPMT(Kredyt1[[#This Row],[Oprocentowanie]]/12,Kredyt1[[#This Row],[Miesiąc kredytu]],IlośćRat,KwotaKredytu),"")</f>
        <v/>
      </c>
      <c r="K515" s="75" t="str" cm="1">
        <f t="array" ref="K515">IF(Kredyt1[[#This Row],[Miesiąc kredytu]]="","",-PMT(Kredyt1[[#This Row],[Oprocentowanie]]/12,IlośćRat,KwotaKredytu))</f>
        <v/>
      </c>
      <c r="L515" s="75">
        <v>0</v>
      </c>
      <c r="M515" s="76" t="str">
        <f>IFERROR(M514-J515-Kredyt1[[#This Row],[Nadpłata]],"")</f>
        <v/>
      </c>
    </row>
    <row r="516" spans="4:13">
      <c r="D516" s="70" t="str" cm="1">
        <f t="array" ref="D516">IF(ROW(511:511)&lt;=IlośćRat,ROW(511:511),"")</f>
        <v/>
      </c>
      <c r="E516" s="70" t="str">
        <f>IFERROR(ROUNDUP(Kredyt1[[#This Row],[Miesiąc kredytu]]/12,0),"")</f>
        <v/>
      </c>
      <c r="F516" s="71" t="str">
        <f t="shared" si="7"/>
        <v/>
      </c>
      <c r="G516" s="72" t="str" cm="1">
        <f t="array" ref="G516">IF(Kredyt1[[#This Row],[Data]]="","",WIBOR3M)</f>
        <v/>
      </c>
      <c r="H516" s="72" t="str" cm="1">
        <f t="array" ref="H516">IF(Kredyt1[[#This Row],[Data]]="","",G516+MarżaBAnku)</f>
        <v/>
      </c>
      <c r="I516" s="73" t="str">
        <f>IF(Kredyt1[[#This Row],[Data]]="","",Kredyt1[[#This Row],[Cała rata]]-Kredyt1[[#This Row],[Kapitał]])</f>
        <v/>
      </c>
      <c r="J516" s="74" t="str" cm="1">
        <f t="array" ref="J516">IFERROR(-PPMT(Kredyt1[[#This Row],[Oprocentowanie]]/12,Kredyt1[[#This Row],[Miesiąc kredytu]],IlośćRat,KwotaKredytu),"")</f>
        <v/>
      </c>
      <c r="K516" s="75" t="str" cm="1">
        <f t="array" ref="K516">IF(Kredyt1[[#This Row],[Miesiąc kredytu]]="","",-PMT(Kredyt1[[#This Row],[Oprocentowanie]]/12,IlośćRat,KwotaKredytu))</f>
        <v/>
      </c>
      <c r="L516" s="75">
        <v>0</v>
      </c>
      <c r="M516" s="76" t="str">
        <f>IFERROR(M515-J516-Kredyt1[[#This Row],[Nadpłata]],"")</f>
        <v/>
      </c>
    </row>
    <row r="517" spans="4:13">
      <c r="D517" s="70" t="str" cm="1">
        <f t="array" ref="D517">IF(ROW(512:512)&lt;=IlośćRat,ROW(512:512),"")</f>
        <v/>
      </c>
      <c r="E517" s="70" t="str">
        <f>IFERROR(ROUNDUP(Kredyt1[[#This Row],[Miesiąc kredytu]]/12,0),"")</f>
        <v/>
      </c>
      <c r="F517" s="71" t="str">
        <f t="shared" si="7"/>
        <v/>
      </c>
      <c r="G517" s="72" t="str" cm="1">
        <f t="array" ref="G517">IF(Kredyt1[[#This Row],[Data]]="","",WIBOR3M)</f>
        <v/>
      </c>
      <c r="H517" s="72" t="str" cm="1">
        <f t="array" ref="H517">IF(Kredyt1[[#This Row],[Data]]="","",G517+MarżaBAnku)</f>
        <v/>
      </c>
      <c r="I517" s="73" t="str">
        <f>IF(Kredyt1[[#This Row],[Data]]="","",Kredyt1[[#This Row],[Cała rata]]-Kredyt1[[#This Row],[Kapitał]])</f>
        <v/>
      </c>
      <c r="J517" s="74" t="str" cm="1">
        <f t="array" ref="J517">IFERROR(-PPMT(Kredyt1[[#This Row],[Oprocentowanie]]/12,Kredyt1[[#This Row],[Miesiąc kredytu]],IlośćRat,KwotaKredytu),"")</f>
        <v/>
      </c>
      <c r="K517" s="75" t="str" cm="1">
        <f t="array" ref="K517">IF(Kredyt1[[#This Row],[Miesiąc kredytu]]="","",-PMT(Kredyt1[[#This Row],[Oprocentowanie]]/12,IlośćRat,KwotaKredytu))</f>
        <v/>
      </c>
      <c r="L517" s="75">
        <v>0</v>
      </c>
      <c r="M517" s="76" t="str">
        <f>IFERROR(M516-J517-Kredyt1[[#This Row],[Nadpłata]],"")</f>
        <v/>
      </c>
    </row>
    <row r="518" spans="4:13">
      <c r="D518" s="70" t="str" cm="1">
        <f t="array" ref="D518">IF(ROW(513:513)&lt;=IlośćRat,ROW(513:513),"")</f>
        <v/>
      </c>
      <c r="E518" s="70" t="str">
        <f>IFERROR(ROUNDUP(Kredyt1[[#This Row],[Miesiąc kredytu]]/12,0),"")</f>
        <v/>
      </c>
      <c r="F518" s="71" t="str">
        <f t="shared" ref="F518:F581" si="8">IFERROR(EDATE($B$6,D518-1),"")</f>
        <v/>
      </c>
      <c r="G518" s="72" t="str" cm="1">
        <f t="array" ref="G518">IF(Kredyt1[[#This Row],[Data]]="","",WIBOR3M)</f>
        <v/>
      </c>
      <c r="H518" s="72" t="str" cm="1">
        <f t="array" ref="H518">IF(Kredyt1[[#This Row],[Data]]="","",G518+MarżaBAnku)</f>
        <v/>
      </c>
      <c r="I518" s="73" t="str">
        <f>IF(Kredyt1[[#This Row],[Data]]="","",Kredyt1[[#This Row],[Cała rata]]-Kredyt1[[#This Row],[Kapitał]])</f>
        <v/>
      </c>
      <c r="J518" s="74" t="str" cm="1">
        <f t="array" ref="J518">IFERROR(-PPMT(Kredyt1[[#This Row],[Oprocentowanie]]/12,Kredyt1[[#This Row],[Miesiąc kredytu]],IlośćRat,KwotaKredytu),"")</f>
        <v/>
      </c>
      <c r="K518" s="75" t="str" cm="1">
        <f t="array" ref="K518">IF(Kredyt1[[#This Row],[Miesiąc kredytu]]="","",-PMT(Kredyt1[[#This Row],[Oprocentowanie]]/12,IlośćRat,KwotaKredytu))</f>
        <v/>
      </c>
      <c r="L518" s="75">
        <v>0</v>
      </c>
      <c r="M518" s="76" t="str">
        <f>IFERROR(M517-J518-Kredyt1[[#This Row],[Nadpłata]],"")</f>
        <v/>
      </c>
    </row>
    <row r="519" spans="4:13">
      <c r="D519" s="70" t="str" cm="1">
        <f t="array" ref="D519">IF(ROW(514:514)&lt;=IlośćRat,ROW(514:514),"")</f>
        <v/>
      </c>
      <c r="E519" s="70" t="str">
        <f>IFERROR(ROUNDUP(Kredyt1[[#This Row],[Miesiąc kredytu]]/12,0),"")</f>
        <v/>
      </c>
      <c r="F519" s="71" t="str">
        <f t="shared" si="8"/>
        <v/>
      </c>
      <c r="G519" s="72" t="str" cm="1">
        <f t="array" ref="G519">IF(Kredyt1[[#This Row],[Data]]="","",WIBOR3M)</f>
        <v/>
      </c>
      <c r="H519" s="72" t="str" cm="1">
        <f t="array" ref="H519">IF(Kredyt1[[#This Row],[Data]]="","",G519+MarżaBAnku)</f>
        <v/>
      </c>
      <c r="I519" s="73" t="str">
        <f>IF(Kredyt1[[#This Row],[Data]]="","",Kredyt1[[#This Row],[Cała rata]]-Kredyt1[[#This Row],[Kapitał]])</f>
        <v/>
      </c>
      <c r="J519" s="74" t="str" cm="1">
        <f t="array" ref="J519">IFERROR(-PPMT(Kredyt1[[#This Row],[Oprocentowanie]]/12,Kredyt1[[#This Row],[Miesiąc kredytu]],IlośćRat,KwotaKredytu),"")</f>
        <v/>
      </c>
      <c r="K519" s="75" t="str" cm="1">
        <f t="array" ref="K519">IF(Kredyt1[[#This Row],[Miesiąc kredytu]]="","",-PMT(Kredyt1[[#This Row],[Oprocentowanie]]/12,IlośćRat,KwotaKredytu))</f>
        <v/>
      </c>
      <c r="L519" s="75">
        <v>0</v>
      </c>
      <c r="M519" s="76" t="str">
        <f>IFERROR(M518-J519-Kredyt1[[#This Row],[Nadpłata]],"")</f>
        <v/>
      </c>
    </row>
    <row r="520" spans="4:13">
      <c r="D520" s="70" t="str" cm="1">
        <f t="array" ref="D520">IF(ROW(515:515)&lt;=IlośćRat,ROW(515:515),"")</f>
        <v/>
      </c>
      <c r="E520" s="70" t="str">
        <f>IFERROR(ROUNDUP(Kredyt1[[#This Row],[Miesiąc kredytu]]/12,0),"")</f>
        <v/>
      </c>
      <c r="F520" s="71" t="str">
        <f t="shared" si="8"/>
        <v/>
      </c>
      <c r="G520" s="72" t="str" cm="1">
        <f t="array" ref="G520">IF(Kredyt1[[#This Row],[Data]]="","",WIBOR3M)</f>
        <v/>
      </c>
      <c r="H520" s="72" t="str" cm="1">
        <f t="array" ref="H520">IF(Kredyt1[[#This Row],[Data]]="","",G520+MarżaBAnku)</f>
        <v/>
      </c>
      <c r="I520" s="73" t="str">
        <f>IF(Kredyt1[[#This Row],[Data]]="","",Kredyt1[[#This Row],[Cała rata]]-Kredyt1[[#This Row],[Kapitał]])</f>
        <v/>
      </c>
      <c r="J520" s="74" t="str" cm="1">
        <f t="array" ref="J520">IFERROR(-PPMT(Kredyt1[[#This Row],[Oprocentowanie]]/12,Kredyt1[[#This Row],[Miesiąc kredytu]],IlośćRat,KwotaKredytu),"")</f>
        <v/>
      </c>
      <c r="K520" s="75" t="str" cm="1">
        <f t="array" ref="K520">IF(Kredyt1[[#This Row],[Miesiąc kredytu]]="","",-PMT(Kredyt1[[#This Row],[Oprocentowanie]]/12,IlośćRat,KwotaKredytu))</f>
        <v/>
      </c>
      <c r="L520" s="75">
        <v>0</v>
      </c>
      <c r="M520" s="76" t="str">
        <f>IFERROR(M519-J520-Kredyt1[[#This Row],[Nadpłata]],"")</f>
        <v/>
      </c>
    </row>
    <row r="521" spans="4:13">
      <c r="D521" s="70" t="str" cm="1">
        <f t="array" ref="D521">IF(ROW(516:516)&lt;=IlośćRat,ROW(516:516),"")</f>
        <v/>
      </c>
      <c r="E521" s="70" t="str">
        <f>IFERROR(ROUNDUP(Kredyt1[[#This Row],[Miesiąc kredytu]]/12,0),"")</f>
        <v/>
      </c>
      <c r="F521" s="71" t="str">
        <f t="shared" si="8"/>
        <v/>
      </c>
      <c r="G521" s="72" t="str" cm="1">
        <f t="array" ref="G521">IF(Kredyt1[[#This Row],[Data]]="","",WIBOR3M)</f>
        <v/>
      </c>
      <c r="H521" s="72" t="str" cm="1">
        <f t="array" ref="H521">IF(Kredyt1[[#This Row],[Data]]="","",G521+MarżaBAnku)</f>
        <v/>
      </c>
      <c r="I521" s="73" t="str">
        <f>IF(Kredyt1[[#This Row],[Data]]="","",Kredyt1[[#This Row],[Cała rata]]-Kredyt1[[#This Row],[Kapitał]])</f>
        <v/>
      </c>
      <c r="J521" s="74" t="str" cm="1">
        <f t="array" ref="J521">IFERROR(-PPMT(Kredyt1[[#This Row],[Oprocentowanie]]/12,Kredyt1[[#This Row],[Miesiąc kredytu]],IlośćRat,KwotaKredytu),"")</f>
        <v/>
      </c>
      <c r="K521" s="75" t="str" cm="1">
        <f t="array" ref="K521">IF(Kredyt1[[#This Row],[Miesiąc kredytu]]="","",-PMT(Kredyt1[[#This Row],[Oprocentowanie]]/12,IlośćRat,KwotaKredytu))</f>
        <v/>
      </c>
      <c r="L521" s="75">
        <v>0</v>
      </c>
      <c r="M521" s="76" t="str">
        <f>IFERROR(M520-J521-Kredyt1[[#This Row],[Nadpłata]],"")</f>
        <v/>
      </c>
    </row>
    <row r="522" spans="4:13">
      <c r="D522" s="70" t="str" cm="1">
        <f t="array" ref="D522">IF(ROW(517:517)&lt;=IlośćRat,ROW(517:517),"")</f>
        <v/>
      </c>
      <c r="E522" s="70" t="str">
        <f>IFERROR(ROUNDUP(Kredyt1[[#This Row],[Miesiąc kredytu]]/12,0),"")</f>
        <v/>
      </c>
      <c r="F522" s="71" t="str">
        <f t="shared" si="8"/>
        <v/>
      </c>
      <c r="G522" s="72" t="str" cm="1">
        <f t="array" ref="G522">IF(Kredyt1[[#This Row],[Data]]="","",WIBOR3M)</f>
        <v/>
      </c>
      <c r="H522" s="72" t="str" cm="1">
        <f t="array" ref="H522">IF(Kredyt1[[#This Row],[Data]]="","",G522+MarżaBAnku)</f>
        <v/>
      </c>
      <c r="I522" s="73" t="str">
        <f>IF(Kredyt1[[#This Row],[Data]]="","",Kredyt1[[#This Row],[Cała rata]]-Kredyt1[[#This Row],[Kapitał]])</f>
        <v/>
      </c>
      <c r="J522" s="74" t="str" cm="1">
        <f t="array" ref="J522">IFERROR(-PPMT(Kredyt1[[#This Row],[Oprocentowanie]]/12,Kredyt1[[#This Row],[Miesiąc kredytu]],IlośćRat,KwotaKredytu),"")</f>
        <v/>
      </c>
      <c r="K522" s="75" t="str" cm="1">
        <f t="array" ref="K522">IF(Kredyt1[[#This Row],[Miesiąc kredytu]]="","",-PMT(Kredyt1[[#This Row],[Oprocentowanie]]/12,IlośćRat,KwotaKredytu))</f>
        <v/>
      </c>
      <c r="L522" s="75">
        <v>0</v>
      </c>
      <c r="M522" s="76" t="str">
        <f>IFERROR(M521-J522-Kredyt1[[#This Row],[Nadpłata]],"")</f>
        <v/>
      </c>
    </row>
    <row r="523" spans="4:13">
      <c r="D523" s="70" t="str" cm="1">
        <f t="array" ref="D523">IF(ROW(518:518)&lt;=IlośćRat,ROW(518:518),"")</f>
        <v/>
      </c>
      <c r="E523" s="70" t="str">
        <f>IFERROR(ROUNDUP(Kredyt1[[#This Row],[Miesiąc kredytu]]/12,0),"")</f>
        <v/>
      </c>
      <c r="F523" s="71" t="str">
        <f t="shared" si="8"/>
        <v/>
      </c>
      <c r="G523" s="72" t="str" cm="1">
        <f t="array" ref="G523">IF(Kredyt1[[#This Row],[Data]]="","",WIBOR3M)</f>
        <v/>
      </c>
      <c r="H523" s="72" t="str" cm="1">
        <f t="array" ref="H523">IF(Kredyt1[[#This Row],[Data]]="","",G523+MarżaBAnku)</f>
        <v/>
      </c>
      <c r="I523" s="73" t="str">
        <f>IF(Kredyt1[[#This Row],[Data]]="","",Kredyt1[[#This Row],[Cała rata]]-Kredyt1[[#This Row],[Kapitał]])</f>
        <v/>
      </c>
      <c r="J523" s="74" t="str" cm="1">
        <f t="array" ref="J523">IFERROR(-PPMT(Kredyt1[[#This Row],[Oprocentowanie]]/12,Kredyt1[[#This Row],[Miesiąc kredytu]],IlośćRat,KwotaKredytu),"")</f>
        <v/>
      </c>
      <c r="K523" s="75" t="str" cm="1">
        <f t="array" ref="K523">IF(Kredyt1[[#This Row],[Miesiąc kredytu]]="","",-PMT(Kredyt1[[#This Row],[Oprocentowanie]]/12,IlośćRat,KwotaKredytu))</f>
        <v/>
      </c>
      <c r="L523" s="75">
        <v>0</v>
      </c>
      <c r="M523" s="76" t="str">
        <f>IFERROR(M522-J523-Kredyt1[[#This Row],[Nadpłata]],"")</f>
        <v/>
      </c>
    </row>
    <row r="524" spans="4:13">
      <c r="D524" s="70" t="str" cm="1">
        <f t="array" ref="D524">IF(ROW(519:519)&lt;=IlośćRat,ROW(519:519),"")</f>
        <v/>
      </c>
      <c r="E524" s="70" t="str">
        <f>IFERROR(ROUNDUP(Kredyt1[[#This Row],[Miesiąc kredytu]]/12,0),"")</f>
        <v/>
      </c>
      <c r="F524" s="71" t="str">
        <f t="shared" si="8"/>
        <v/>
      </c>
      <c r="G524" s="72" t="str" cm="1">
        <f t="array" ref="G524">IF(Kredyt1[[#This Row],[Data]]="","",WIBOR3M)</f>
        <v/>
      </c>
      <c r="H524" s="72" t="str" cm="1">
        <f t="array" ref="H524">IF(Kredyt1[[#This Row],[Data]]="","",G524+MarżaBAnku)</f>
        <v/>
      </c>
      <c r="I524" s="73" t="str">
        <f>IF(Kredyt1[[#This Row],[Data]]="","",Kredyt1[[#This Row],[Cała rata]]-Kredyt1[[#This Row],[Kapitał]])</f>
        <v/>
      </c>
      <c r="J524" s="74" t="str" cm="1">
        <f t="array" ref="J524">IFERROR(-PPMT(Kredyt1[[#This Row],[Oprocentowanie]]/12,Kredyt1[[#This Row],[Miesiąc kredytu]],IlośćRat,KwotaKredytu),"")</f>
        <v/>
      </c>
      <c r="K524" s="75" t="str" cm="1">
        <f t="array" ref="K524">IF(Kredyt1[[#This Row],[Miesiąc kredytu]]="","",-PMT(Kredyt1[[#This Row],[Oprocentowanie]]/12,IlośćRat,KwotaKredytu))</f>
        <v/>
      </c>
      <c r="L524" s="75">
        <v>0</v>
      </c>
      <c r="M524" s="76" t="str">
        <f>IFERROR(M523-J524-Kredyt1[[#This Row],[Nadpłata]],"")</f>
        <v/>
      </c>
    </row>
    <row r="525" spans="4:13">
      <c r="D525" s="70" t="str" cm="1">
        <f t="array" ref="D525">IF(ROW(520:520)&lt;=IlośćRat,ROW(520:520),"")</f>
        <v/>
      </c>
      <c r="E525" s="70" t="str">
        <f>IFERROR(ROUNDUP(Kredyt1[[#This Row],[Miesiąc kredytu]]/12,0),"")</f>
        <v/>
      </c>
      <c r="F525" s="71" t="str">
        <f t="shared" si="8"/>
        <v/>
      </c>
      <c r="G525" s="72" t="str" cm="1">
        <f t="array" ref="G525">IF(Kredyt1[[#This Row],[Data]]="","",WIBOR3M)</f>
        <v/>
      </c>
      <c r="H525" s="72" t="str" cm="1">
        <f t="array" ref="H525">IF(Kredyt1[[#This Row],[Data]]="","",G525+MarżaBAnku)</f>
        <v/>
      </c>
      <c r="I525" s="73" t="str">
        <f>IF(Kredyt1[[#This Row],[Data]]="","",Kredyt1[[#This Row],[Cała rata]]-Kredyt1[[#This Row],[Kapitał]])</f>
        <v/>
      </c>
      <c r="J525" s="74" t="str" cm="1">
        <f t="array" ref="J525">IFERROR(-PPMT(Kredyt1[[#This Row],[Oprocentowanie]]/12,Kredyt1[[#This Row],[Miesiąc kredytu]],IlośćRat,KwotaKredytu),"")</f>
        <v/>
      </c>
      <c r="K525" s="75" t="str" cm="1">
        <f t="array" ref="K525">IF(Kredyt1[[#This Row],[Miesiąc kredytu]]="","",-PMT(Kredyt1[[#This Row],[Oprocentowanie]]/12,IlośćRat,KwotaKredytu))</f>
        <v/>
      </c>
      <c r="L525" s="75">
        <v>0</v>
      </c>
      <c r="M525" s="76" t="str">
        <f>IFERROR(M524-J525-Kredyt1[[#This Row],[Nadpłata]],"")</f>
        <v/>
      </c>
    </row>
    <row r="526" spans="4:13">
      <c r="D526" s="70" t="str" cm="1">
        <f t="array" ref="D526">IF(ROW(521:521)&lt;=IlośćRat,ROW(521:521),"")</f>
        <v/>
      </c>
      <c r="E526" s="70" t="str">
        <f>IFERROR(ROUNDUP(Kredyt1[[#This Row],[Miesiąc kredytu]]/12,0),"")</f>
        <v/>
      </c>
      <c r="F526" s="71" t="str">
        <f t="shared" si="8"/>
        <v/>
      </c>
      <c r="G526" s="72" t="str" cm="1">
        <f t="array" ref="G526">IF(Kredyt1[[#This Row],[Data]]="","",WIBOR3M)</f>
        <v/>
      </c>
      <c r="H526" s="72" t="str" cm="1">
        <f t="array" ref="H526">IF(Kredyt1[[#This Row],[Data]]="","",G526+MarżaBAnku)</f>
        <v/>
      </c>
      <c r="I526" s="73" t="str">
        <f>IF(Kredyt1[[#This Row],[Data]]="","",Kredyt1[[#This Row],[Cała rata]]-Kredyt1[[#This Row],[Kapitał]])</f>
        <v/>
      </c>
      <c r="J526" s="74" t="str" cm="1">
        <f t="array" ref="J526">IFERROR(-PPMT(Kredyt1[[#This Row],[Oprocentowanie]]/12,Kredyt1[[#This Row],[Miesiąc kredytu]],IlośćRat,KwotaKredytu),"")</f>
        <v/>
      </c>
      <c r="K526" s="75" t="str" cm="1">
        <f t="array" ref="K526">IF(Kredyt1[[#This Row],[Miesiąc kredytu]]="","",-PMT(Kredyt1[[#This Row],[Oprocentowanie]]/12,IlośćRat,KwotaKredytu))</f>
        <v/>
      </c>
      <c r="L526" s="75">
        <v>0</v>
      </c>
      <c r="M526" s="76" t="str">
        <f>IFERROR(M525-J526-Kredyt1[[#This Row],[Nadpłata]],"")</f>
        <v/>
      </c>
    </row>
    <row r="527" spans="4:13">
      <c r="D527" s="70" t="str" cm="1">
        <f t="array" ref="D527">IF(ROW(522:522)&lt;=IlośćRat,ROW(522:522),"")</f>
        <v/>
      </c>
      <c r="E527" s="70" t="str">
        <f>IFERROR(ROUNDUP(Kredyt1[[#This Row],[Miesiąc kredytu]]/12,0),"")</f>
        <v/>
      </c>
      <c r="F527" s="71" t="str">
        <f t="shared" si="8"/>
        <v/>
      </c>
      <c r="G527" s="72" t="str" cm="1">
        <f t="array" ref="G527">IF(Kredyt1[[#This Row],[Data]]="","",WIBOR3M)</f>
        <v/>
      </c>
      <c r="H527" s="72" t="str" cm="1">
        <f t="array" ref="H527">IF(Kredyt1[[#This Row],[Data]]="","",G527+MarżaBAnku)</f>
        <v/>
      </c>
      <c r="I527" s="73" t="str">
        <f>IF(Kredyt1[[#This Row],[Data]]="","",Kredyt1[[#This Row],[Cała rata]]-Kredyt1[[#This Row],[Kapitał]])</f>
        <v/>
      </c>
      <c r="J527" s="74" t="str" cm="1">
        <f t="array" ref="J527">IFERROR(-PPMT(Kredyt1[[#This Row],[Oprocentowanie]]/12,Kredyt1[[#This Row],[Miesiąc kredytu]],IlośćRat,KwotaKredytu),"")</f>
        <v/>
      </c>
      <c r="K527" s="75" t="str" cm="1">
        <f t="array" ref="K527">IF(Kredyt1[[#This Row],[Miesiąc kredytu]]="","",-PMT(Kredyt1[[#This Row],[Oprocentowanie]]/12,IlośćRat,KwotaKredytu))</f>
        <v/>
      </c>
      <c r="L527" s="75">
        <v>0</v>
      </c>
      <c r="M527" s="76" t="str">
        <f>IFERROR(M526-J527-Kredyt1[[#This Row],[Nadpłata]],"")</f>
        <v/>
      </c>
    </row>
    <row r="528" spans="4:13">
      <c r="D528" s="70" t="str" cm="1">
        <f t="array" ref="D528">IF(ROW(523:523)&lt;=IlośćRat,ROW(523:523),"")</f>
        <v/>
      </c>
      <c r="E528" s="70" t="str">
        <f>IFERROR(ROUNDUP(Kredyt1[[#This Row],[Miesiąc kredytu]]/12,0),"")</f>
        <v/>
      </c>
      <c r="F528" s="71" t="str">
        <f t="shared" si="8"/>
        <v/>
      </c>
      <c r="G528" s="72" t="str" cm="1">
        <f t="array" ref="G528">IF(Kredyt1[[#This Row],[Data]]="","",WIBOR3M)</f>
        <v/>
      </c>
      <c r="H528" s="72" t="str" cm="1">
        <f t="array" ref="H528">IF(Kredyt1[[#This Row],[Data]]="","",G528+MarżaBAnku)</f>
        <v/>
      </c>
      <c r="I528" s="73" t="str">
        <f>IF(Kredyt1[[#This Row],[Data]]="","",Kredyt1[[#This Row],[Cała rata]]-Kredyt1[[#This Row],[Kapitał]])</f>
        <v/>
      </c>
      <c r="J528" s="74" t="str" cm="1">
        <f t="array" ref="J528">IFERROR(-PPMT(Kredyt1[[#This Row],[Oprocentowanie]]/12,Kredyt1[[#This Row],[Miesiąc kredytu]],IlośćRat,KwotaKredytu),"")</f>
        <v/>
      </c>
      <c r="K528" s="75" t="str" cm="1">
        <f t="array" ref="K528">IF(Kredyt1[[#This Row],[Miesiąc kredytu]]="","",-PMT(Kredyt1[[#This Row],[Oprocentowanie]]/12,IlośćRat,KwotaKredytu))</f>
        <v/>
      </c>
      <c r="L528" s="75">
        <v>0</v>
      </c>
      <c r="M528" s="76" t="str">
        <f>IFERROR(M527-J528-Kredyt1[[#This Row],[Nadpłata]],"")</f>
        <v/>
      </c>
    </row>
    <row r="529" spans="4:13">
      <c r="D529" s="70" t="str" cm="1">
        <f t="array" ref="D529">IF(ROW(524:524)&lt;=IlośćRat,ROW(524:524),"")</f>
        <v/>
      </c>
      <c r="E529" s="70" t="str">
        <f>IFERROR(ROUNDUP(Kredyt1[[#This Row],[Miesiąc kredytu]]/12,0),"")</f>
        <v/>
      </c>
      <c r="F529" s="71" t="str">
        <f t="shared" si="8"/>
        <v/>
      </c>
      <c r="G529" s="72" t="str" cm="1">
        <f t="array" ref="G529">IF(Kredyt1[[#This Row],[Data]]="","",WIBOR3M)</f>
        <v/>
      </c>
      <c r="H529" s="72" t="str" cm="1">
        <f t="array" ref="H529">IF(Kredyt1[[#This Row],[Data]]="","",G529+MarżaBAnku)</f>
        <v/>
      </c>
      <c r="I529" s="73" t="str">
        <f>IF(Kredyt1[[#This Row],[Data]]="","",Kredyt1[[#This Row],[Cała rata]]-Kredyt1[[#This Row],[Kapitał]])</f>
        <v/>
      </c>
      <c r="J529" s="74" t="str" cm="1">
        <f t="array" ref="J529">IFERROR(-PPMT(Kredyt1[[#This Row],[Oprocentowanie]]/12,Kredyt1[[#This Row],[Miesiąc kredytu]],IlośćRat,KwotaKredytu),"")</f>
        <v/>
      </c>
      <c r="K529" s="75" t="str" cm="1">
        <f t="array" ref="K529">IF(Kredyt1[[#This Row],[Miesiąc kredytu]]="","",-PMT(Kredyt1[[#This Row],[Oprocentowanie]]/12,IlośćRat,KwotaKredytu))</f>
        <v/>
      </c>
      <c r="L529" s="75">
        <v>0</v>
      </c>
      <c r="M529" s="76" t="str">
        <f>IFERROR(M528-J529-Kredyt1[[#This Row],[Nadpłata]],"")</f>
        <v/>
      </c>
    </row>
    <row r="530" spans="4:13">
      <c r="D530" s="70" t="str" cm="1">
        <f t="array" ref="D530">IF(ROW(525:525)&lt;=IlośćRat,ROW(525:525),"")</f>
        <v/>
      </c>
      <c r="E530" s="70" t="str">
        <f>IFERROR(ROUNDUP(Kredyt1[[#This Row],[Miesiąc kredytu]]/12,0),"")</f>
        <v/>
      </c>
      <c r="F530" s="71" t="str">
        <f t="shared" si="8"/>
        <v/>
      </c>
      <c r="G530" s="72" t="str" cm="1">
        <f t="array" ref="G530">IF(Kredyt1[[#This Row],[Data]]="","",WIBOR3M)</f>
        <v/>
      </c>
      <c r="H530" s="72" t="str" cm="1">
        <f t="array" ref="H530">IF(Kredyt1[[#This Row],[Data]]="","",G530+MarżaBAnku)</f>
        <v/>
      </c>
      <c r="I530" s="73" t="str">
        <f>IF(Kredyt1[[#This Row],[Data]]="","",Kredyt1[[#This Row],[Cała rata]]-Kredyt1[[#This Row],[Kapitał]])</f>
        <v/>
      </c>
      <c r="J530" s="74" t="str" cm="1">
        <f t="array" ref="J530">IFERROR(-PPMT(Kredyt1[[#This Row],[Oprocentowanie]]/12,Kredyt1[[#This Row],[Miesiąc kredytu]],IlośćRat,KwotaKredytu),"")</f>
        <v/>
      </c>
      <c r="K530" s="75" t="str" cm="1">
        <f t="array" ref="K530">IF(Kredyt1[[#This Row],[Miesiąc kredytu]]="","",-PMT(Kredyt1[[#This Row],[Oprocentowanie]]/12,IlośćRat,KwotaKredytu))</f>
        <v/>
      </c>
      <c r="L530" s="75">
        <v>0</v>
      </c>
      <c r="M530" s="76" t="str">
        <f>IFERROR(M529-J530-Kredyt1[[#This Row],[Nadpłata]],"")</f>
        <v/>
      </c>
    </row>
    <row r="531" spans="4:13">
      <c r="D531" s="70" t="str" cm="1">
        <f t="array" ref="D531">IF(ROW(526:526)&lt;=IlośćRat,ROW(526:526),"")</f>
        <v/>
      </c>
      <c r="E531" s="70" t="str">
        <f>IFERROR(ROUNDUP(Kredyt1[[#This Row],[Miesiąc kredytu]]/12,0),"")</f>
        <v/>
      </c>
      <c r="F531" s="71" t="str">
        <f t="shared" si="8"/>
        <v/>
      </c>
      <c r="G531" s="72" t="str" cm="1">
        <f t="array" ref="G531">IF(Kredyt1[[#This Row],[Data]]="","",WIBOR3M)</f>
        <v/>
      </c>
      <c r="H531" s="72" t="str" cm="1">
        <f t="array" ref="H531">IF(Kredyt1[[#This Row],[Data]]="","",G531+MarżaBAnku)</f>
        <v/>
      </c>
      <c r="I531" s="73" t="str">
        <f>IF(Kredyt1[[#This Row],[Data]]="","",Kredyt1[[#This Row],[Cała rata]]-Kredyt1[[#This Row],[Kapitał]])</f>
        <v/>
      </c>
      <c r="J531" s="74" t="str" cm="1">
        <f t="array" ref="J531">IFERROR(-PPMT(Kredyt1[[#This Row],[Oprocentowanie]]/12,Kredyt1[[#This Row],[Miesiąc kredytu]],IlośćRat,KwotaKredytu),"")</f>
        <v/>
      </c>
      <c r="K531" s="75" t="str" cm="1">
        <f t="array" ref="K531">IF(Kredyt1[[#This Row],[Miesiąc kredytu]]="","",-PMT(Kredyt1[[#This Row],[Oprocentowanie]]/12,IlośćRat,KwotaKredytu))</f>
        <v/>
      </c>
      <c r="L531" s="75">
        <v>0</v>
      </c>
      <c r="M531" s="76" t="str">
        <f>IFERROR(M530-J531-Kredyt1[[#This Row],[Nadpłata]],"")</f>
        <v/>
      </c>
    </row>
    <row r="532" spans="4:13">
      <c r="D532" s="70" t="str" cm="1">
        <f t="array" ref="D532">IF(ROW(527:527)&lt;=IlośćRat,ROW(527:527),"")</f>
        <v/>
      </c>
      <c r="E532" s="70" t="str">
        <f>IFERROR(ROUNDUP(Kredyt1[[#This Row],[Miesiąc kredytu]]/12,0),"")</f>
        <v/>
      </c>
      <c r="F532" s="71" t="str">
        <f t="shared" si="8"/>
        <v/>
      </c>
      <c r="G532" s="72" t="str" cm="1">
        <f t="array" ref="G532">IF(Kredyt1[[#This Row],[Data]]="","",WIBOR3M)</f>
        <v/>
      </c>
      <c r="H532" s="72" t="str" cm="1">
        <f t="array" ref="H532">IF(Kredyt1[[#This Row],[Data]]="","",G532+MarżaBAnku)</f>
        <v/>
      </c>
      <c r="I532" s="73" t="str">
        <f>IF(Kredyt1[[#This Row],[Data]]="","",Kredyt1[[#This Row],[Cała rata]]-Kredyt1[[#This Row],[Kapitał]])</f>
        <v/>
      </c>
      <c r="J532" s="74" t="str" cm="1">
        <f t="array" ref="J532">IFERROR(-PPMT(Kredyt1[[#This Row],[Oprocentowanie]]/12,Kredyt1[[#This Row],[Miesiąc kredytu]],IlośćRat,KwotaKredytu),"")</f>
        <v/>
      </c>
      <c r="K532" s="75" t="str" cm="1">
        <f t="array" ref="K532">IF(Kredyt1[[#This Row],[Miesiąc kredytu]]="","",-PMT(Kredyt1[[#This Row],[Oprocentowanie]]/12,IlośćRat,KwotaKredytu))</f>
        <v/>
      </c>
      <c r="L532" s="75">
        <v>0</v>
      </c>
      <c r="M532" s="76" t="str">
        <f>IFERROR(M531-J532-Kredyt1[[#This Row],[Nadpłata]],"")</f>
        <v/>
      </c>
    </row>
    <row r="533" spans="4:13">
      <c r="D533" s="70" t="str" cm="1">
        <f t="array" ref="D533">IF(ROW(528:528)&lt;=IlośćRat,ROW(528:528),"")</f>
        <v/>
      </c>
      <c r="E533" s="70" t="str">
        <f>IFERROR(ROUNDUP(Kredyt1[[#This Row],[Miesiąc kredytu]]/12,0),"")</f>
        <v/>
      </c>
      <c r="F533" s="71" t="str">
        <f t="shared" si="8"/>
        <v/>
      </c>
      <c r="G533" s="72" t="str" cm="1">
        <f t="array" ref="G533">IF(Kredyt1[[#This Row],[Data]]="","",WIBOR3M)</f>
        <v/>
      </c>
      <c r="H533" s="72" t="str" cm="1">
        <f t="array" ref="H533">IF(Kredyt1[[#This Row],[Data]]="","",G533+MarżaBAnku)</f>
        <v/>
      </c>
      <c r="I533" s="73" t="str">
        <f>IF(Kredyt1[[#This Row],[Data]]="","",Kredyt1[[#This Row],[Cała rata]]-Kredyt1[[#This Row],[Kapitał]])</f>
        <v/>
      </c>
      <c r="J533" s="74" t="str" cm="1">
        <f t="array" ref="J533">IFERROR(-PPMT(Kredyt1[[#This Row],[Oprocentowanie]]/12,Kredyt1[[#This Row],[Miesiąc kredytu]],IlośćRat,KwotaKredytu),"")</f>
        <v/>
      </c>
      <c r="K533" s="75" t="str" cm="1">
        <f t="array" ref="K533">IF(Kredyt1[[#This Row],[Miesiąc kredytu]]="","",-PMT(Kredyt1[[#This Row],[Oprocentowanie]]/12,IlośćRat,KwotaKredytu))</f>
        <v/>
      </c>
      <c r="L533" s="75">
        <v>0</v>
      </c>
      <c r="M533" s="76" t="str">
        <f>IFERROR(M532-J533-Kredyt1[[#This Row],[Nadpłata]],"")</f>
        <v/>
      </c>
    </row>
    <row r="534" spans="4:13">
      <c r="D534" s="70" t="str" cm="1">
        <f t="array" ref="D534">IF(ROW(529:529)&lt;=IlośćRat,ROW(529:529),"")</f>
        <v/>
      </c>
      <c r="E534" s="70" t="str">
        <f>IFERROR(ROUNDUP(Kredyt1[[#This Row],[Miesiąc kredytu]]/12,0),"")</f>
        <v/>
      </c>
      <c r="F534" s="71" t="str">
        <f t="shared" si="8"/>
        <v/>
      </c>
      <c r="G534" s="72" t="str" cm="1">
        <f t="array" ref="G534">IF(Kredyt1[[#This Row],[Data]]="","",WIBOR3M)</f>
        <v/>
      </c>
      <c r="H534" s="72" t="str" cm="1">
        <f t="array" ref="H534">IF(Kredyt1[[#This Row],[Data]]="","",G534+MarżaBAnku)</f>
        <v/>
      </c>
      <c r="I534" s="73" t="str">
        <f>IF(Kredyt1[[#This Row],[Data]]="","",Kredyt1[[#This Row],[Cała rata]]-Kredyt1[[#This Row],[Kapitał]])</f>
        <v/>
      </c>
      <c r="J534" s="74" t="str" cm="1">
        <f t="array" ref="J534">IFERROR(-PPMT(Kredyt1[[#This Row],[Oprocentowanie]]/12,Kredyt1[[#This Row],[Miesiąc kredytu]],IlośćRat,KwotaKredytu),"")</f>
        <v/>
      </c>
      <c r="K534" s="75" t="str" cm="1">
        <f t="array" ref="K534">IF(Kredyt1[[#This Row],[Miesiąc kredytu]]="","",-PMT(Kredyt1[[#This Row],[Oprocentowanie]]/12,IlośćRat,KwotaKredytu))</f>
        <v/>
      </c>
      <c r="L534" s="75">
        <v>0</v>
      </c>
      <c r="M534" s="76" t="str">
        <f>IFERROR(M533-J534-Kredyt1[[#This Row],[Nadpłata]],"")</f>
        <v/>
      </c>
    </row>
    <row r="535" spans="4:13">
      <c r="D535" s="70" t="str" cm="1">
        <f t="array" ref="D535">IF(ROW(530:530)&lt;=IlośćRat,ROW(530:530),"")</f>
        <v/>
      </c>
      <c r="E535" s="70" t="str">
        <f>IFERROR(ROUNDUP(Kredyt1[[#This Row],[Miesiąc kredytu]]/12,0),"")</f>
        <v/>
      </c>
      <c r="F535" s="71" t="str">
        <f t="shared" si="8"/>
        <v/>
      </c>
      <c r="G535" s="72" t="str" cm="1">
        <f t="array" ref="G535">IF(Kredyt1[[#This Row],[Data]]="","",WIBOR3M)</f>
        <v/>
      </c>
      <c r="H535" s="72" t="str" cm="1">
        <f t="array" ref="H535">IF(Kredyt1[[#This Row],[Data]]="","",G535+MarżaBAnku)</f>
        <v/>
      </c>
      <c r="I535" s="73" t="str">
        <f>IF(Kredyt1[[#This Row],[Data]]="","",Kredyt1[[#This Row],[Cała rata]]-Kredyt1[[#This Row],[Kapitał]])</f>
        <v/>
      </c>
      <c r="J535" s="74" t="str" cm="1">
        <f t="array" ref="J535">IFERROR(-PPMT(Kredyt1[[#This Row],[Oprocentowanie]]/12,Kredyt1[[#This Row],[Miesiąc kredytu]],IlośćRat,KwotaKredytu),"")</f>
        <v/>
      </c>
      <c r="K535" s="75" t="str" cm="1">
        <f t="array" ref="K535">IF(Kredyt1[[#This Row],[Miesiąc kredytu]]="","",-PMT(Kredyt1[[#This Row],[Oprocentowanie]]/12,IlośćRat,KwotaKredytu))</f>
        <v/>
      </c>
      <c r="L535" s="75">
        <v>0</v>
      </c>
      <c r="M535" s="76" t="str">
        <f>IFERROR(M534-J535-Kredyt1[[#This Row],[Nadpłata]],"")</f>
        <v/>
      </c>
    </row>
    <row r="536" spans="4:13">
      <c r="D536" s="70" t="str" cm="1">
        <f t="array" ref="D536">IF(ROW(531:531)&lt;=IlośćRat,ROW(531:531),"")</f>
        <v/>
      </c>
      <c r="E536" s="70" t="str">
        <f>IFERROR(ROUNDUP(Kredyt1[[#This Row],[Miesiąc kredytu]]/12,0),"")</f>
        <v/>
      </c>
      <c r="F536" s="71" t="str">
        <f t="shared" si="8"/>
        <v/>
      </c>
      <c r="G536" s="72" t="str" cm="1">
        <f t="array" ref="G536">IF(Kredyt1[[#This Row],[Data]]="","",WIBOR3M)</f>
        <v/>
      </c>
      <c r="H536" s="72" t="str" cm="1">
        <f t="array" ref="H536">IF(Kredyt1[[#This Row],[Data]]="","",G536+MarżaBAnku)</f>
        <v/>
      </c>
      <c r="I536" s="73" t="str">
        <f>IF(Kredyt1[[#This Row],[Data]]="","",Kredyt1[[#This Row],[Cała rata]]-Kredyt1[[#This Row],[Kapitał]])</f>
        <v/>
      </c>
      <c r="J536" s="74" t="str" cm="1">
        <f t="array" ref="J536">IFERROR(-PPMT(Kredyt1[[#This Row],[Oprocentowanie]]/12,Kredyt1[[#This Row],[Miesiąc kredytu]],IlośćRat,KwotaKredytu),"")</f>
        <v/>
      </c>
      <c r="K536" s="75" t="str" cm="1">
        <f t="array" ref="K536">IF(Kredyt1[[#This Row],[Miesiąc kredytu]]="","",-PMT(Kredyt1[[#This Row],[Oprocentowanie]]/12,IlośćRat,KwotaKredytu))</f>
        <v/>
      </c>
      <c r="L536" s="75">
        <v>0</v>
      </c>
      <c r="M536" s="76" t="str">
        <f>IFERROR(M535-J536-Kredyt1[[#This Row],[Nadpłata]],"")</f>
        <v/>
      </c>
    </row>
    <row r="537" spans="4:13">
      <c r="D537" s="70" t="str" cm="1">
        <f t="array" ref="D537">IF(ROW(532:532)&lt;=IlośćRat,ROW(532:532),"")</f>
        <v/>
      </c>
      <c r="E537" s="70" t="str">
        <f>IFERROR(ROUNDUP(Kredyt1[[#This Row],[Miesiąc kredytu]]/12,0),"")</f>
        <v/>
      </c>
      <c r="F537" s="71" t="str">
        <f t="shared" si="8"/>
        <v/>
      </c>
      <c r="G537" s="72" t="str" cm="1">
        <f t="array" ref="G537">IF(Kredyt1[[#This Row],[Data]]="","",WIBOR3M)</f>
        <v/>
      </c>
      <c r="H537" s="72" t="str" cm="1">
        <f t="array" ref="H537">IF(Kredyt1[[#This Row],[Data]]="","",G537+MarżaBAnku)</f>
        <v/>
      </c>
      <c r="I537" s="73" t="str">
        <f>IF(Kredyt1[[#This Row],[Data]]="","",Kredyt1[[#This Row],[Cała rata]]-Kredyt1[[#This Row],[Kapitał]])</f>
        <v/>
      </c>
      <c r="J537" s="74" t="str" cm="1">
        <f t="array" ref="J537">IFERROR(-PPMT(Kredyt1[[#This Row],[Oprocentowanie]]/12,Kredyt1[[#This Row],[Miesiąc kredytu]],IlośćRat,KwotaKredytu),"")</f>
        <v/>
      </c>
      <c r="K537" s="75" t="str" cm="1">
        <f t="array" ref="K537">IF(Kredyt1[[#This Row],[Miesiąc kredytu]]="","",-PMT(Kredyt1[[#This Row],[Oprocentowanie]]/12,IlośćRat,KwotaKredytu))</f>
        <v/>
      </c>
      <c r="L537" s="75">
        <v>0</v>
      </c>
      <c r="M537" s="76" t="str">
        <f>IFERROR(M536-J537-Kredyt1[[#This Row],[Nadpłata]],"")</f>
        <v/>
      </c>
    </row>
    <row r="538" spans="4:13">
      <c r="D538" s="70" t="str" cm="1">
        <f t="array" ref="D538">IF(ROW(533:533)&lt;=IlośćRat,ROW(533:533),"")</f>
        <v/>
      </c>
      <c r="E538" s="70" t="str">
        <f>IFERROR(ROUNDUP(Kredyt1[[#This Row],[Miesiąc kredytu]]/12,0),"")</f>
        <v/>
      </c>
      <c r="F538" s="71" t="str">
        <f t="shared" si="8"/>
        <v/>
      </c>
      <c r="G538" s="72" t="str" cm="1">
        <f t="array" ref="G538">IF(Kredyt1[[#This Row],[Data]]="","",WIBOR3M)</f>
        <v/>
      </c>
      <c r="H538" s="72" t="str" cm="1">
        <f t="array" ref="H538">IF(Kredyt1[[#This Row],[Data]]="","",G538+MarżaBAnku)</f>
        <v/>
      </c>
      <c r="I538" s="73" t="str">
        <f>IF(Kredyt1[[#This Row],[Data]]="","",Kredyt1[[#This Row],[Cała rata]]-Kredyt1[[#This Row],[Kapitał]])</f>
        <v/>
      </c>
      <c r="J538" s="74" t="str" cm="1">
        <f t="array" ref="J538">IFERROR(-PPMT(Kredyt1[[#This Row],[Oprocentowanie]]/12,Kredyt1[[#This Row],[Miesiąc kredytu]],IlośćRat,KwotaKredytu),"")</f>
        <v/>
      </c>
      <c r="K538" s="75" t="str" cm="1">
        <f t="array" ref="K538">IF(Kredyt1[[#This Row],[Miesiąc kredytu]]="","",-PMT(Kredyt1[[#This Row],[Oprocentowanie]]/12,IlośćRat,KwotaKredytu))</f>
        <v/>
      </c>
      <c r="L538" s="75">
        <v>0</v>
      </c>
      <c r="M538" s="76" t="str">
        <f>IFERROR(M537-J538-Kredyt1[[#This Row],[Nadpłata]],"")</f>
        <v/>
      </c>
    </row>
    <row r="539" spans="4:13">
      <c r="D539" s="70" t="str" cm="1">
        <f t="array" ref="D539">IF(ROW(534:534)&lt;=IlośćRat,ROW(534:534),"")</f>
        <v/>
      </c>
      <c r="E539" s="70" t="str">
        <f>IFERROR(ROUNDUP(Kredyt1[[#This Row],[Miesiąc kredytu]]/12,0),"")</f>
        <v/>
      </c>
      <c r="F539" s="71" t="str">
        <f t="shared" si="8"/>
        <v/>
      </c>
      <c r="G539" s="72" t="str" cm="1">
        <f t="array" ref="G539">IF(Kredyt1[[#This Row],[Data]]="","",WIBOR3M)</f>
        <v/>
      </c>
      <c r="H539" s="72" t="str" cm="1">
        <f t="array" ref="H539">IF(Kredyt1[[#This Row],[Data]]="","",G539+MarżaBAnku)</f>
        <v/>
      </c>
      <c r="I539" s="73" t="str">
        <f>IF(Kredyt1[[#This Row],[Data]]="","",Kredyt1[[#This Row],[Cała rata]]-Kredyt1[[#This Row],[Kapitał]])</f>
        <v/>
      </c>
      <c r="J539" s="74" t="str" cm="1">
        <f t="array" ref="J539">IFERROR(-PPMT(Kredyt1[[#This Row],[Oprocentowanie]]/12,Kredyt1[[#This Row],[Miesiąc kredytu]],IlośćRat,KwotaKredytu),"")</f>
        <v/>
      </c>
      <c r="K539" s="75" t="str" cm="1">
        <f t="array" ref="K539">IF(Kredyt1[[#This Row],[Miesiąc kredytu]]="","",-PMT(Kredyt1[[#This Row],[Oprocentowanie]]/12,IlośćRat,KwotaKredytu))</f>
        <v/>
      </c>
      <c r="L539" s="75">
        <v>0</v>
      </c>
      <c r="M539" s="76" t="str">
        <f>IFERROR(M538-J539-Kredyt1[[#This Row],[Nadpłata]],"")</f>
        <v/>
      </c>
    </row>
    <row r="540" spans="4:13">
      <c r="D540" s="70" t="str" cm="1">
        <f t="array" ref="D540">IF(ROW(535:535)&lt;=IlośćRat,ROW(535:535),"")</f>
        <v/>
      </c>
      <c r="E540" s="70" t="str">
        <f>IFERROR(ROUNDUP(Kredyt1[[#This Row],[Miesiąc kredytu]]/12,0),"")</f>
        <v/>
      </c>
      <c r="F540" s="71" t="str">
        <f t="shared" si="8"/>
        <v/>
      </c>
      <c r="G540" s="72" t="str" cm="1">
        <f t="array" ref="G540">IF(Kredyt1[[#This Row],[Data]]="","",WIBOR3M)</f>
        <v/>
      </c>
      <c r="H540" s="72" t="str" cm="1">
        <f t="array" ref="H540">IF(Kredyt1[[#This Row],[Data]]="","",G540+MarżaBAnku)</f>
        <v/>
      </c>
      <c r="I540" s="73" t="str">
        <f>IF(Kredyt1[[#This Row],[Data]]="","",Kredyt1[[#This Row],[Cała rata]]-Kredyt1[[#This Row],[Kapitał]])</f>
        <v/>
      </c>
      <c r="J540" s="74" t="str" cm="1">
        <f t="array" ref="J540">IFERROR(-PPMT(Kredyt1[[#This Row],[Oprocentowanie]]/12,Kredyt1[[#This Row],[Miesiąc kredytu]],IlośćRat,KwotaKredytu),"")</f>
        <v/>
      </c>
      <c r="K540" s="75" t="str" cm="1">
        <f t="array" ref="K540">IF(Kredyt1[[#This Row],[Miesiąc kredytu]]="","",-PMT(Kredyt1[[#This Row],[Oprocentowanie]]/12,IlośćRat,KwotaKredytu))</f>
        <v/>
      </c>
      <c r="L540" s="75">
        <v>0</v>
      </c>
      <c r="M540" s="76" t="str">
        <f>IFERROR(M539-J540-Kredyt1[[#This Row],[Nadpłata]],"")</f>
        <v/>
      </c>
    </row>
    <row r="541" spans="4:13">
      <c r="D541" s="70" t="str" cm="1">
        <f t="array" ref="D541">IF(ROW(536:536)&lt;=IlośćRat,ROW(536:536),"")</f>
        <v/>
      </c>
      <c r="E541" s="70" t="str">
        <f>IFERROR(ROUNDUP(Kredyt1[[#This Row],[Miesiąc kredytu]]/12,0),"")</f>
        <v/>
      </c>
      <c r="F541" s="71" t="str">
        <f t="shared" si="8"/>
        <v/>
      </c>
      <c r="G541" s="72" t="str" cm="1">
        <f t="array" ref="G541">IF(Kredyt1[[#This Row],[Data]]="","",WIBOR3M)</f>
        <v/>
      </c>
      <c r="H541" s="72" t="str" cm="1">
        <f t="array" ref="H541">IF(Kredyt1[[#This Row],[Data]]="","",G541+MarżaBAnku)</f>
        <v/>
      </c>
      <c r="I541" s="73" t="str">
        <f>IF(Kredyt1[[#This Row],[Data]]="","",Kredyt1[[#This Row],[Cała rata]]-Kredyt1[[#This Row],[Kapitał]])</f>
        <v/>
      </c>
      <c r="J541" s="74" t="str" cm="1">
        <f t="array" ref="J541">IFERROR(-PPMT(Kredyt1[[#This Row],[Oprocentowanie]]/12,Kredyt1[[#This Row],[Miesiąc kredytu]],IlośćRat,KwotaKredytu),"")</f>
        <v/>
      </c>
      <c r="K541" s="75" t="str" cm="1">
        <f t="array" ref="K541">IF(Kredyt1[[#This Row],[Miesiąc kredytu]]="","",-PMT(Kredyt1[[#This Row],[Oprocentowanie]]/12,IlośćRat,KwotaKredytu))</f>
        <v/>
      </c>
      <c r="L541" s="75">
        <v>0</v>
      </c>
      <c r="M541" s="76" t="str">
        <f>IFERROR(M540-J541-Kredyt1[[#This Row],[Nadpłata]],"")</f>
        <v/>
      </c>
    </row>
    <row r="542" spans="4:13">
      <c r="D542" s="70" t="str" cm="1">
        <f t="array" ref="D542">IF(ROW(537:537)&lt;=IlośćRat,ROW(537:537),"")</f>
        <v/>
      </c>
      <c r="E542" s="70" t="str">
        <f>IFERROR(ROUNDUP(Kredyt1[[#This Row],[Miesiąc kredytu]]/12,0),"")</f>
        <v/>
      </c>
      <c r="F542" s="71" t="str">
        <f t="shared" si="8"/>
        <v/>
      </c>
      <c r="G542" s="72" t="str" cm="1">
        <f t="array" ref="G542">IF(Kredyt1[[#This Row],[Data]]="","",WIBOR3M)</f>
        <v/>
      </c>
      <c r="H542" s="72" t="str" cm="1">
        <f t="array" ref="H542">IF(Kredyt1[[#This Row],[Data]]="","",G542+MarżaBAnku)</f>
        <v/>
      </c>
      <c r="I542" s="73" t="str">
        <f>IF(Kredyt1[[#This Row],[Data]]="","",Kredyt1[[#This Row],[Cała rata]]-Kredyt1[[#This Row],[Kapitał]])</f>
        <v/>
      </c>
      <c r="J542" s="74" t="str" cm="1">
        <f t="array" ref="J542">IFERROR(-PPMT(Kredyt1[[#This Row],[Oprocentowanie]]/12,Kredyt1[[#This Row],[Miesiąc kredytu]],IlośćRat,KwotaKredytu),"")</f>
        <v/>
      </c>
      <c r="K542" s="75" t="str" cm="1">
        <f t="array" ref="K542">IF(Kredyt1[[#This Row],[Miesiąc kredytu]]="","",-PMT(Kredyt1[[#This Row],[Oprocentowanie]]/12,IlośćRat,KwotaKredytu))</f>
        <v/>
      </c>
      <c r="L542" s="75">
        <v>0</v>
      </c>
      <c r="M542" s="76" t="str">
        <f>IFERROR(M541-J542-Kredyt1[[#This Row],[Nadpłata]],"")</f>
        <v/>
      </c>
    </row>
    <row r="543" spans="4:13">
      <c r="D543" s="70" t="str" cm="1">
        <f t="array" ref="D543">IF(ROW(538:538)&lt;=IlośćRat,ROW(538:538),"")</f>
        <v/>
      </c>
      <c r="E543" s="70" t="str">
        <f>IFERROR(ROUNDUP(Kredyt1[[#This Row],[Miesiąc kredytu]]/12,0),"")</f>
        <v/>
      </c>
      <c r="F543" s="71" t="str">
        <f t="shared" si="8"/>
        <v/>
      </c>
      <c r="G543" s="72" t="str" cm="1">
        <f t="array" ref="G543">IF(Kredyt1[[#This Row],[Data]]="","",WIBOR3M)</f>
        <v/>
      </c>
      <c r="H543" s="72" t="str" cm="1">
        <f t="array" ref="H543">IF(Kredyt1[[#This Row],[Data]]="","",G543+MarżaBAnku)</f>
        <v/>
      </c>
      <c r="I543" s="73" t="str">
        <f>IF(Kredyt1[[#This Row],[Data]]="","",Kredyt1[[#This Row],[Cała rata]]-Kredyt1[[#This Row],[Kapitał]])</f>
        <v/>
      </c>
      <c r="J543" s="74" t="str" cm="1">
        <f t="array" ref="J543">IFERROR(-PPMT(Kredyt1[[#This Row],[Oprocentowanie]]/12,Kredyt1[[#This Row],[Miesiąc kredytu]],IlośćRat,KwotaKredytu),"")</f>
        <v/>
      </c>
      <c r="K543" s="75" t="str" cm="1">
        <f t="array" ref="K543">IF(Kredyt1[[#This Row],[Miesiąc kredytu]]="","",-PMT(Kredyt1[[#This Row],[Oprocentowanie]]/12,IlośćRat,KwotaKredytu))</f>
        <v/>
      </c>
      <c r="L543" s="75">
        <v>0</v>
      </c>
      <c r="M543" s="76" t="str">
        <f>IFERROR(M542-J543-Kredyt1[[#This Row],[Nadpłata]],"")</f>
        <v/>
      </c>
    </row>
    <row r="544" spans="4:13">
      <c r="D544" s="70" t="str" cm="1">
        <f t="array" ref="D544">IF(ROW(539:539)&lt;=IlośćRat,ROW(539:539),"")</f>
        <v/>
      </c>
      <c r="E544" s="70" t="str">
        <f>IFERROR(ROUNDUP(Kredyt1[[#This Row],[Miesiąc kredytu]]/12,0),"")</f>
        <v/>
      </c>
      <c r="F544" s="71" t="str">
        <f t="shared" si="8"/>
        <v/>
      </c>
      <c r="G544" s="72" t="str" cm="1">
        <f t="array" ref="G544">IF(Kredyt1[[#This Row],[Data]]="","",WIBOR3M)</f>
        <v/>
      </c>
      <c r="H544" s="72" t="str" cm="1">
        <f t="array" ref="H544">IF(Kredyt1[[#This Row],[Data]]="","",G544+MarżaBAnku)</f>
        <v/>
      </c>
      <c r="I544" s="73" t="str">
        <f>IF(Kredyt1[[#This Row],[Data]]="","",Kredyt1[[#This Row],[Cała rata]]-Kredyt1[[#This Row],[Kapitał]])</f>
        <v/>
      </c>
      <c r="J544" s="74" t="str" cm="1">
        <f t="array" ref="J544">IFERROR(-PPMT(Kredyt1[[#This Row],[Oprocentowanie]]/12,Kredyt1[[#This Row],[Miesiąc kredytu]],IlośćRat,KwotaKredytu),"")</f>
        <v/>
      </c>
      <c r="K544" s="75" t="str" cm="1">
        <f t="array" ref="K544">IF(Kredyt1[[#This Row],[Miesiąc kredytu]]="","",-PMT(Kredyt1[[#This Row],[Oprocentowanie]]/12,IlośćRat,KwotaKredytu))</f>
        <v/>
      </c>
      <c r="L544" s="75">
        <v>0</v>
      </c>
      <c r="M544" s="76" t="str">
        <f>IFERROR(M543-J544-Kredyt1[[#This Row],[Nadpłata]],"")</f>
        <v/>
      </c>
    </row>
    <row r="545" spans="4:13">
      <c r="D545" s="70" t="str" cm="1">
        <f t="array" ref="D545">IF(ROW(540:540)&lt;=IlośćRat,ROW(540:540),"")</f>
        <v/>
      </c>
      <c r="E545" s="70" t="str">
        <f>IFERROR(ROUNDUP(Kredyt1[[#This Row],[Miesiąc kredytu]]/12,0),"")</f>
        <v/>
      </c>
      <c r="F545" s="71" t="str">
        <f t="shared" si="8"/>
        <v/>
      </c>
      <c r="G545" s="72" t="str" cm="1">
        <f t="array" ref="G545">IF(Kredyt1[[#This Row],[Data]]="","",WIBOR3M)</f>
        <v/>
      </c>
      <c r="H545" s="72" t="str" cm="1">
        <f t="array" ref="H545">IF(Kredyt1[[#This Row],[Data]]="","",G545+MarżaBAnku)</f>
        <v/>
      </c>
      <c r="I545" s="73" t="str">
        <f>IF(Kredyt1[[#This Row],[Data]]="","",Kredyt1[[#This Row],[Cała rata]]-Kredyt1[[#This Row],[Kapitał]])</f>
        <v/>
      </c>
      <c r="J545" s="74" t="str" cm="1">
        <f t="array" ref="J545">IFERROR(-PPMT(Kredyt1[[#This Row],[Oprocentowanie]]/12,Kredyt1[[#This Row],[Miesiąc kredytu]],IlośćRat,KwotaKredytu),"")</f>
        <v/>
      </c>
      <c r="K545" s="75" t="str" cm="1">
        <f t="array" ref="K545">IF(Kredyt1[[#This Row],[Miesiąc kredytu]]="","",-PMT(Kredyt1[[#This Row],[Oprocentowanie]]/12,IlośćRat,KwotaKredytu))</f>
        <v/>
      </c>
      <c r="L545" s="75">
        <v>0</v>
      </c>
      <c r="M545" s="76" t="str">
        <f>IFERROR(M544-J545-Kredyt1[[#This Row],[Nadpłata]],"")</f>
        <v/>
      </c>
    </row>
    <row r="546" spans="4:13">
      <c r="D546" s="70" t="str" cm="1">
        <f t="array" ref="D546">IF(ROW(541:541)&lt;=IlośćRat,ROW(541:541),"")</f>
        <v/>
      </c>
      <c r="E546" s="70" t="str">
        <f>IFERROR(ROUNDUP(Kredyt1[[#This Row],[Miesiąc kredytu]]/12,0),"")</f>
        <v/>
      </c>
      <c r="F546" s="71" t="str">
        <f t="shared" si="8"/>
        <v/>
      </c>
      <c r="G546" s="72" t="str" cm="1">
        <f t="array" ref="G546">IF(Kredyt1[[#This Row],[Data]]="","",WIBOR3M)</f>
        <v/>
      </c>
      <c r="H546" s="72" t="str" cm="1">
        <f t="array" ref="H546">IF(Kredyt1[[#This Row],[Data]]="","",G546+MarżaBAnku)</f>
        <v/>
      </c>
      <c r="I546" s="73" t="str">
        <f>IF(Kredyt1[[#This Row],[Data]]="","",Kredyt1[[#This Row],[Cała rata]]-Kredyt1[[#This Row],[Kapitał]])</f>
        <v/>
      </c>
      <c r="J546" s="74" t="str" cm="1">
        <f t="array" ref="J546">IFERROR(-PPMT(Kredyt1[[#This Row],[Oprocentowanie]]/12,Kredyt1[[#This Row],[Miesiąc kredytu]],IlośćRat,KwotaKredytu),"")</f>
        <v/>
      </c>
      <c r="K546" s="75" t="str" cm="1">
        <f t="array" ref="K546">IF(Kredyt1[[#This Row],[Miesiąc kredytu]]="","",-PMT(Kredyt1[[#This Row],[Oprocentowanie]]/12,IlośćRat,KwotaKredytu))</f>
        <v/>
      </c>
      <c r="L546" s="75">
        <v>0</v>
      </c>
      <c r="M546" s="76" t="str">
        <f>IFERROR(M545-J546-Kredyt1[[#This Row],[Nadpłata]],"")</f>
        <v/>
      </c>
    </row>
    <row r="547" spans="4:13">
      <c r="D547" s="70" t="str" cm="1">
        <f t="array" ref="D547">IF(ROW(542:542)&lt;=IlośćRat,ROW(542:542),"")</f>
        <v/>
      </c>
      <c r="E547" s="70" t="str">
        <f>IFERROR(ROUNDUP(Kredyt1[[#This Row],[Miesiąc kredytu]]/12,0),"")</f>
        <v/>
      </c>
      <c r="F547" s="71" t="str">
        <f t="shared" si="8"/>
        <v/>
      </c>
      <c r="G547" s="72" t="str" cm="1">
        <f t="array" ref="G547">IF(Kredyt1[[#This Row],[Data]]="","",WIBOR3M)</f>
        <v/>
      </c>
      <c r="H547" s="72" t="str" cm="1">
        <f t="array" ref="H547">IF(Kredyt1[[#This Row],[Data]]="","",G547+MarżaBAnku)</f>
        <v/>
      </c>
      <c r="I547" s="73" t="str">
        <f>IF(Kredyt1[[#This Row],[Data]]="","",Kredyt1[[#This Row],[Cała rata]]-Kredyt1[[#This Row],[Kapitał]])</f>
        <v/>
      </c>
      <c r="J547" s="74" t="str" cm="1">
        <f t="array" ref="J547">IFERROR(-PPMT(Kredyt1[[#This Row],[Oprocentowanie]]/12,Kredyt1[[#This Row],[Miesiąc kredytu]],IlośćRat,KwotaKredytu),"")</f>
        <v/>
      </c>
      <c r="K547" s="75" t="str" cm="1">
        <f t="array" ref="K547">IF(Kredyt1[[#This Row],[Miesiąc kredytu]]="","",-PMT(Kredyt1[[#This Row],[Oprocentowanie]]/12,IlośćRat,KwotaKredytu))</f>
        <v/>
      </c>
      <c r="L547" s="75">
        <v>0</v>
      </c>
      <c r="M547" s="76" t="str">
        <f>IFERROR(M546-J547-Kredyt1[[#This Row],[Nadpłata]],"")</f>
        <v/>
      </c>
    </row>
    <row r="548" spans="4:13">
      <c r="D548" s="70" t="str" cm="1">
        <f t="array" ref="D548">IF(ROW(543:543)&lt;=IlośćRat,ROW(543:543),"")</f>
        <v/>
      </c>
      <c r="E548" s="70" t="str">
        <f>IFERROR(ROUNDUP(Kredyt1[[#This Row],[Miesiąc kredytu]]/12,0),"")</f>
        <v/>
      </c>
      <c r="F548" s="71" t="str">
        <f t="shared" si="8"/>
        <v/>
      </c>
      <c r="G548" s="72" t="str" cm="1">
        <f t="array" ref="G548">IF(Kredyt1[[#This Row],[Data]]="","",WIBOR3M)</f>
        <v/>
      </c>
      <c r="H548" s="72" t="str" cm="1">
        <f t="array" ref="H548">IF(Kredyt1[[#This Row],[Data]]="","",G548+MarżaBAnku)</f>
        <v/>
      </c>
      <c r="I548" s="73" t="str">
        <f>IF(Kredyt1[[#This Row],[Data]]="","",Kredyt1[[#This Row],[Cała rata]]-Kredyt1[[#This Row],[Kapitał]])</f>
        <v/>
      </c>
      <c r="J548" s="74" t="str" cm="1">
        <f t="array" ref="J548">IFERROR(-PPMT(Kredyt1[[#This Row],[Oprocentowanie]]/12,Kredyt1[[#This Row],[Miesiąc kredytu]],IlośćRat,KwotaKredytu),"")</f>
        <v/>
      </c>
      <c r="K548" s="75" t="str" cm="1">
        <f t="array" ref="K548">IF(Kredyt1[[#This Row],[Miesiąc kredytu]]="","",-PMT(Kredyt1[[#This Row],[Oprocentowanie]]/12,IlośćRat,KwotaKredytu))</f>
        <v/>
      </c>
      <c r="L548" s="75">
        <v>0</v>
      </c>
      <c r="M548" s="76" t="str">
        <f>IFERROR(M547-J548-Kredyt1[[#This Row],[Nadpłata]],"")</f>
        <v/>
      </c>
    </row>
    <row r="549" spans="4:13">
      <c r="D549" s="70" t="str" cm="1">
        <f t="array" ref="D549">IF(ROW(544:544)&lt;=IlośćRat,ROW(544:544),"")</f>
        <v/>
      </c>
      <c r="E549" s="70" t="str">
        <f>IFERROR(ROUNDUP(Kredyt1[[#This Row],[Miesiąc kredytu]]/12,0),"")</f>
        <v/>
      </c>
      <c r="F549" s="71" t="str">
        <f t="shared" si="8"/>
        <v/>
      </c>
      <c r="G549" s="72" t="str" cm="1">
        <f t="array" ref="G549">IF(Kredyt1[[#This Row],[Data]]="","",WIBOR3M)</f>
        <v/>
      </c>
      <c r="H549" s="72" t="str" cm="1">
        <f t="array" ref="H549">IF(Kredyt1[[#This Row],[Data]]="","",G549+MarżaBAnku)</f>
        <v/>
      </c>
      <c r="I549" s="73" t="str">
        <f>IF(Kredyt1[[#This Row],[Data]]="","",Kredyt1[[#This Row],[Cała rata]]-Kredyt1[[#This Row],[Kapitał]])</f>
        <v/>
      </c>
      <c r="J549" s="74" t="str" cm="1">
        <f t="array" ref="J549">IFERROR(-PPMT(Kredyt1[[#This Row],[Oprocentowanie]]/12,Kredyt1[[#This Row],[Miesiąc kredytu]],IlośćRat,KwotaKredytu),"")</f>
        <v/>
      </c>
      <c r="K549" s="75" t="str" cm="1">
        <f t="array" ref="K549">IF(Kredyt1[[#This Row],[Miesiąc kredytu]]="","",-PMT(Kredyt1[[#This Row],[Oprocentowanie]]/12,IlośćRat,KwotaKredytu))</f>
        <v/>
      </c>
      <c r="L549" s="75">
        <v>0</v>
      </c>
      <c r="M549" s="76" t="str">
        <f>IFERROR(M548-J549-Kredyt1[[#This Row],[Nadpłata]],"")</f>
        <v/>
      </c>
    </row>
    <row r="550" spans="4:13">
      <c r="D550" s="70" t="str" cm="1">
        <f t="array" ref="D550">IF(ROW(545:545)&lt;=IlośćRat,ROW(545:545),"")</f>
        <v/>
      </c>
      <c r="E550" s="70" t="str">
        <f>IFERROR(ROUNDUP(Kredyt1[[#This Row],[Miesiąc kredytu]]/12,0),"")</f>
        <v/>
      </c>
      <c r="F550" s="71" t="str">
        <f t="shared" si="8"/>
        <v/>
      </c>
      <c r="G550" s="72" t="str" cm="1">
        <f t="array" ref="G550">IF(Kredyt1[[#This Row],[Data]]="","",WIBOR3M)</f>
        <v/>
      </c>
      <c r="H550" s="72" t="str" cm="1">
        <f t="array" ref="H550">IF(Kredyt1[[#This Row],[Data]]="","",G550+MarżaBAnku)</f>
        <v/>
      </c>
      <c r="I550" s="73" t="str">
        <f>IF(Kredyt1[[#This Row],[Data]]="","",Kredyt1[[#This Row],[Cała rata]]-Kredyt1[[#This Row],[Kapitał]])</f>
        <v/>
      </c>
      <c r="J550" s="74" t="str" cm="1">
        <f t="array" ref="J550">IFERROR(-PPMT(Kredyt1[[#This Row],[Oprocentowanie]]/12,Kredyt1[[#This Row],[Miesiąc kredytu]],IlośćRat,KwotaKredytu),"")</f>
        <v/>
      </c>
      <c r="K550" s="75" t="str" cm="1">
        <f t="array" ref="K550">IF(Kredyt1[[#This Row],[Miesiąc kredytu]]="","",-PMT(Kredyt1[[#This Row],[Oprocentowanie]]/12,IlośćRat,KwotaKredytu))</f>
        <v/>
      </c>
      <c r="L550" s="75">
        <v>0</v>
      </c>
      <c r="M550" s="76" t="str">
        <f>IFERROR(M549-J550-Kredyt1[[#This Row],[Nadpłata]],"")</f>
        <v/>
      </c>
    </row>
    <row r="551" spans="4:13">
      <c r="D551" s="70" t="str" cm="1">
        <f t="array" ref="D551">IF(ROW(546:546)&lt;=IlośćRat,ROW(546:546),"")</f>
        <v/>
      </c>
      <c r="E551" s="70" t="str">
        <f>IFERROR(ROUNDUP(Kredyt1[[#This Row],[Miesiąc kredytu]]/12,0),"")</f>
        <v/>
      </c>
      <c r="F551" s="71" t="str">
        <f t="shared" si="8"/>
        <v/>
      </c>
      <c r="G551" s="72" t="str" cm="1">
        <f t="array" ref="G551">IF(Kredyt1[[#This Row],[Data]]="","",WIBOR3M)</f>
        <v/>
      </c>
      <c r="H551" s="72" t="str" cm="1">
        <f t="array" ref="H551">IF(Kredyt1[[#This Row],[Data]]="","",G551+MarżaBAnku)</f>
        <v/>
      </c>
      <c r="I551" s="73" t="str">
        <f>IF(Kredyt1[[#This Row],[Data]]="","",Kredyt1[[#This Row],[Cała rata]]-Kredyt1[[#This Row],[Kapitał]])</f>
        <v/>
      </c>
      <c r="J551" s="74" t="str" cm="1">
        <f t="array" ref="J551">IFERROR(-PPMT(Kredyt1[[#This Row],[Oprocentowanie]]/12,Kredyt1[[#This Row],[Miesiąc kredytu]],IlośćRat,KwotaKredytu),"")</f>
        <v/>
      </c>
      <c r="K551" s="75" t="str" cm="1">
        <f t="array" ref="K551">IF(Kredyt1[[#This Row],[Miesiąc kredytu]]="","",-PMT(Kredyt1[[#This Row],[Oprocentowanie]]/12,IlośćRat,KwotaKredytu))</f>
        <v/>
      </c>
      <c r="L551" s="75">
        <v>0</v>
      </c>
      <c r="M551" s="76" t="str">
        <f>IFERROR(M550-J551-Kredyt1[[#This Row],[Nadpłata]],"")</f>
        <v/>
      </c>
    </row>
    <row r="552" spans="4:13">
      <c r="D552" s="70" t="str" cm="1">
        <f t="array" ref="D552">IF(ROW(547:547)&lt;=IlośćRat,ROW(547:547),"")</f>
        <v/>
      </c>
      <c r="E552" s="70" t="str">
        <f>IFERROR(ROUNDUP(Kredyt1[[#This Row],[Miesiąc kredytu]]/12,0),"")</f>
        <v/>
      </c>
      <c r="F552" s="71" t="str">
        <f t="shared" si="8"/>
        <v/>
      </c>
      <c r="G552" s="72" t="str" cm="1">
        <f t="array" ref="G552">IF(Kredyt1[[#This Row],[Data]]="","",WIBOR3M)</f>
        <v/>
      </c>
      <c r="H552" s="72" t="str" cm="1">
        <f t="array" ref="H552">IF(Kredyt1[[#This Row],[Data]]="","",G552+MarżaBAnku)</f>
        <v/>
      </c>
      <c r="I552" s="73" t="str">
        <f>IF(Kredyt1[[#This Row],[Data]]="","",Kredyt1[[#This Row],[Cała rata]]-Kredyt1[[#This Row],[Kapitał]])</f>
        <v/>
      </c>
      <c r="J552" s="74" t="str" cm="1">
        <f t="array" ref="J552">IFERROR(-PPMT(Kredyt1[[#This Row],[Oprocentowanie]]/12,Kredyt1[[#This Row],[Miesiąc kredytu]],IlośćRat,KwotaKredytu),"")</f>
        <v/>
      </c>
      <c r="K552" s="75" t="str" cm="1">
        <f t="array" ref="K552">IF(Kredyt1[[#This Row],[Miesiąc kredytu]]="","",-PMT(Kredyt1[[#This Row],[Oprocentowanie]]/12,IlośćRat,KwotaKredytu))</f>
        <v/>
      </c>
      <c r="L552" s="75">
        <v>0</v>
      </c>
      <c r="M552" s="76" t="str">
        <f>IFERROR(M551-J552-Kredyt1[[#This Row],[Nadpłata]],"")</f>
        <v/>
      </c>
    </row>
    <row r="553" spans="4:13">
      <c r="D553" s="70" t="str" cm="1">
        <f t="array" ref="D553">IF(ROW(548:548)&lt;=IlośćRat,ROW(548:548),"")</f>
        <v/>
      </c>
      <c r="E553" s="70" t="str">
        <f>IFERROR(ROUNDUP(Kredyt1[[#This Row],[Miesiąc kredytu]]/12,0),"")</f>
        <v/>
      </c>
      <c r="F553" s="71" t="str">
        <f t="shared" si="8"/>
        <v/>
      </c>
      <c r="G553" s="72" t="str" cm="1">
        <f t="array" ref="G553">IF(Kredyt1[[#This Row],[Data]]="","",WIBOR3M)</f>
        <v/>
      </c>
      <c r="H553" s="72" t="str" cm="1">
        <f t="array" ref="H553">IF(Kredyt1[[#This Row],[Data]]="","",G553+MarżaBAnku)</f>
        <v/>
      </c>
      <c r="I553" s="73" t="str">
        <f>IF(Kredyt1[[#This Row],[Data]]="","",Kredyt1[[#This Row],[Cała rata]]-Kredyt1[[#This Row],[Kapitał]])</f>
        <v/>
      </c>
      <c r="J553" s="74" t="str" cm="1">
        <f t="array" ref="J553">IFERROR(-PPMT(Kredyt1[[#This Row],[Oprocentowanie]]/12,Kredyt1[[#This Row],[Miesiąc kredytu]],IlośćRat,KwotaKredytu),"")</f>
        <v/>
      </c>
      <c r="K553" s="75" t="str" cm="1">
        <f t="array" ref="K553">IF(Kredyt1[[#This Row],[Miesiąc kredytu]]="","",-PMT(Kredyt1[[#This Row],[Oprocentowanie]]/12,IlośćRat,KwotaKredytu))</f>
        <v/>
      </c>
      <c r="L553" s="75">
        <v>0</v>
      </c>
      <c r="M553" s="76" t="str">
        <f>IFERROR(M552-J553-Kredyt1[[#This Row],[Nadpłata]],"")</f>
        <v/>
      </c>
    </row>
    <row r="554" spans="4:13">
      <c r="D554" s="70" t="str" cm="1">
        <f t="array" ref="D554">IF(ROW(549:549)&lt;=IlośćRat,ROW(549:549),"")</f>
        <v/>
      </c>
      <c r="E554" s="70" t="str">
        <f>IFERROR(ROUNDUP(Kredyt1[[#This Row],[Miesiąc kredytu]]/12,0),"")</f>
        <v/>
      </c>
      <c r="F554" s="71" t="str">
        <f t="shared" si="8"/>
        <v/>
      </c>
      <c r="G554" s="72" t="str" cm="1">
        <f t="array" ref="G554">IF(Kredyt1[[#This Row],[Data]]="","",WIBOR3M)</f>
        <v/>
      </c>
      <c r="H554" s="72" t="str" cm="1">
        <f t="array" ref="H554">IF(Kredyt1[[#This Row],[Data]]="","",G554+MarżaBAnku)</f>
        <v/>
      </c>
      <c r="I554" s="73" t="str">
        <f>IF(Kredyt1[[#This Row],[Data]]="","",Kredyt1[[#This Row],[Cała rata]]-Kredyt1[[#This Row],[Kapitał]])</f>
        <v/>
      </c>
      <c r="J554" s="74" t="str" cm="1">
        <f t="array" ref="J554">IFERROR(-PPMT(Kredyt1[[#This Row],[Oprocentowanie]]/12,Kredyt1[[#This Row],[Miesiąc kredytu]],IlośćRat,KwotaKredytu),"")</f>
        <v/>
      </c>
      <c r="K554" s="75" t="str" cm="1">
        <f t="array" ref="K554">IF(Kredyt1[[#This Row],[Miesiąc kredytu]]="","",-PMT(Kredyt1[[#This Row],[Oprocentowanie]]/12,IlośćRat,KwotaKredytu))</f>
        <v/>
      </c>
      <c r="L554" s="75">
        <v>0</v>
      </c>
      <c r="M554" s="76" t="str">
        <f>IFERROR(M553-J554-Kredyt1[[#This Row],[Nadpłata]],"")</f>
        <v/>
      </c>
    </row>
    <row r="555" spans="4:13">
      <c r="D555" s="70" t="str" cm="1">
        <f t="array" ref="D555">IF(ROW(550:550)&lt;=IlośćRat,ROW(550:550),"")</f>
        <v/>
      </c>
      <c r="E555" s="70" t="str">
        <f>IFERROR(ROUNDUP(Kredyt1[[#This Row],[Miesiąc kredytu]]/12,0),"")</f>
        <v/>
      </c>
      <c r="F555" s="71" t="str">
        <f t="shared" si="8"/>
        <v/>
      </c>
      <c r="G555" s="72" t="str" cm="1">
        <f t="array" ref="G555">IF(Kredyt1[[#This Row],[Data]]="","",WIBOR3M)</f>
        <v/>
      </c>
      <c r="H555" s="72" t="str" cm="1">
        <f t="array" ref="H555">IF(Kredyt1[[#This Row],[Data]]="","",G555+MarżaBAnku)</f>
        <v/>
      </c>
      <c r="I555" s="73" t="str">
        <f>IF(Kredyt1[[#This Row],[Data]]="","",Kredyt1[[#This Row],[Cała rata]]-Kredyt1[[#This Row],[Kapitał]])</f>
        <v/>
      </c>
      <c r="J555" s="74" t="str" cm="1">
        <f t="array" ref="J555">IFERROR(-PPMT(Kredyt1[[#This Row],[Oprocentowanie]]/12,Kredyt1[[#This Row],[Miesiąc kredytu]],IlośćRat,KwotaKredytu),"")</f>
        <v/>
      </c>
      <c r="K555" s="75" t="str" cm="1">
        <f t="array" ref="K555">IF(Kredyt1[[#This Row],[Miesiąc kredytu]]="","",-PMT(Kredyt1[[#This Row],[Oprocentowanie]]/12,IlośćRat,KwotaKredytu))</f>
        <v/>
      </c>
      <c r="L555" s="75">
        <v>0</v>
      </c>
      <c r="M555" s="76" t="str">
        <f>IFERROR(M554-J555-Kredyt1[[#This Row],[Nadpłata]],"")</f>
        <v/>
      </c>
    </row>
    <row r="556" spans="4:13">
      <c r="D556" s="70" t="str" cm="1">
        <f t="array" ref="D556">IF(ROW(551:551)&lt;=IlośćRat,ROW(551:551),"")</f>
        <v/>
      </c>
      <c r="E556" s="70" t="str">
        <f>IFERROR(ROUNDUP(Kredyt1[[#This Row],[Miesiąc kredytu]]/12,0),"")</f>
        <v/>
      </c>
      <c r="F556" s="71" t="str">
        <f t="shared" si="8"/>
        <v/>
      </c>
      <c r="G556" s="72" t="str" cm="1">
        <f t="array" ref="G556">IF(Kredyt1[[#This Row],[Data]]="","",WIBOR3M)</f>
        <v/>
      </c>
      <c r="H556" s="72" t="str" cm="1">
        <f t="array" ref="H556">IF(Kredyt1[[#This Row],[Data]]="","",G556+MarżaBAnku)</f>
        <v/>
      </c>
      <c r="I556" s="73" t="str">
        <f>IF(Kredyt1[[#This Row],[Data]]="","",Kredyt1[[#This Row],[Cała rata]]-Kredyt1[[#This Row],[Kapitał]])</f>
        <v/>
      </c>
      <c r="J556" s="74" t="str" cm="1">
        <f t="array" ref="J556">IFERROR(-PPMT(Kredyt1[[#This Row],[Oprocentowanie]]/12,Kredyt1[[#This Row],[Miesiąc kredytu]],IlośćRat,KwotaKredytu),"")</f>
        <v/>
      </c>
      <c r="K556" s="75" t="str" cm="1">
        <f t="array" ref="K556">IF(Kredyt1[[#This Row],[Miesiąc kredytu]]="","",-PMT(Kredyt1[[#This Row],[Oprocentowanie]]/12,IlośćRat,KwotaKredytu))</f>
        <v/>
      </c>
      <c r="L556" s="75">
        <v>0</v>
      </c>
      <c r="M556" s="76" t="str">
        <f>IFERROR(M555-J556-Kredyt1[[#This Row],[Nadpłata]],"")</f>
        <v/>
      </c>
    </row>
    <row r="557" spans="4:13">
      <c r="D557" s="70" t="str" cm="1">
        <f t="array" ref="D557">IF(ROW(552:552)&lt;=IlośćRat,ROW(552:552),"")</f>
        <v/>
      </c>
      <c r="E557" s="70" t="str">
        <f>IFERROR(ROUNDUP(Kredyt1[[#This Row],[Miesiąc kredytu]]/12,0),"")</f>
        <v/>
      </c>
      <c r="F557" s="71" t="str">
        <f t="shared" si="8"/>
        <v/>
      </c>
      <c r="G557" s="72" t="str" cm="1">
        <f t="array" ref="G557">IF(Kredyt1[[#This Row],[Data]]="","",WIBOR3M)</f>
        <v/>
      </c>
      <c r="H557" s="72" t="str" cm="1">
        <f t="array" ref="H557">IF(Kredyt1[[#This Row],[Data]]="","",G557+MarżaBAnku)</f>
        <v/>
      </c>
      <c r="I557" s="73" t="str">
        <f>IF(Kredyt1[[#This Row],[Data]]="","",Kredyt1[[#This Row],[Cała rata]]-Kredyt1[[#This Row],[Kapitał]])</f>
        <v/>
      </c>
      <c r="J557" s="74" t="str" cm="1">
        <f t="array" ref="J557">IFERROR(-PPMT(Kredyt1[[#This Row],[Oprocentowanie]]/12,Kredyt1[[#This Row],[Miesiąc kredytu]],IlośćRat,KwotaKredytu),"")</f>
        <v/>
      </c>
      <c r="K557" s="75" t="str" cm="1">
        <f t="array" ref="K557">IF(Kredyt1[[#This Row],[Miesiąc kredytu]]="","",-PMT(Kredyt1[[#This Row],[Oprocentowanie]]/12,IlośćRat,KwotaKredytu))</f>
        <v/>
      </c>
      <c r="L557" s="75">
        <v>0</v>
      </c>
      <c r="M557" s="76" t="str">
        <f>IFERROR(M556-J557-Kredyt1[[#This Row],[Nadpłata]],"")</f>
        <v/>
      </c>
    </row>
    <row r="558" spans="4:13">
      <c r="D558" s="70" t="str" cm="1">
        <f t="array" ref="D558">IF(ROW(553:553)&lt;=IlośćRat,ROW(553:553),"")</f>
        <v/>
      </c>
      <c r="E558" s="70" t="str">
        <f>IFERROR(ROUNDUP(Kredyt1[[#This Row],[Miesiąc kredytu]]/12,0),"")</f>
        <v/>
      </c>
      <c r="F558" s="71" t="str">
        <f t="shared" si="8"/>
        <v/>
      </c>
      <c r="G558" s="72" t="str" cm="1">
        <f t="array" ref="G558">IF(Kredyt1[[#This Row],[Data]]="","",WIBOR3M)</f>
        <v/>
      </c>
      <c r="H558" s="72" t="str" cm="1">
        <f t="array" ref="H558">IF(Kredyt1[[#This Row],[Data]]="","",G558+MarżaBAnku)</f>
        <v/>
      </c>
      <c r="I558" s="73" t="str">
        <f>IF(Kredyt1[[#This Row],[Data]]="","",Kredyt1[[#This Row],[Cała rata]]-Kredyt1[[#This Row],[Kapitał]])</f>
        <v/>
      </c>
      <c r="J558" s="74" t="str" cm="1">
        <f t="array" ref="J558">IFERROR(-PPMT(Kredyt1[[#This Row],[Oprocentowanie]]/12,Kredyt1[[#This Row],[Miesiąc kredytu]],IlośćRat,KwotaKredytu),"")</f>
        <v/>
      </c>
      <c r="K558" s="75" t="str" cm="1">
        <f t="array" ref="K558">IF(Kredyt1[[#This Row],[Miesiąc kredytu]]="","",-PMT(Kredyt1[[#This Row],[Oprocentowanie]]/12,IlośćRat,KwotaKredytu))</f>
        <v/>
      </c>
      <c r="L558" s="75">
        <v>0</v>
      </c>
      <c r="M558" s="76" t="str">
        <f>IFERROR(M557-J558-Kredyt1[[#This Row],[Nadpłata]],"")</f>
        <v/>
      </c>
    </row>
    <row r="559" spans="4:13">
      <c r="D559" s="70" t="str" cm="1">
        <f t="array" ref="D559">IF(ROW(554:554)&lt;=IlośćRat,ROW(554:554),"")</f>
        <v/>
      </c>
      <c r="E559" s="70" t="str">
        <f>IFERROR(ROUNDUP(Kredyt1[[#This Row],[Miesiąc kredytu]]/12,0),"")</f>
        <v/>
      </c>
      <c r="F559" s="71" t="str">
        <f t="shared" si="8"/>
        <v/>
      </c>
      <c r="G559" s="72" t="str" cm="1">
        <f t="array" ref="G559">IF(Kredyt1[[#This Row],[Data]]="","",WIBOR3M)</f>
        <v/>
      </c>
      <c r="H559" s="72" t="str" cm="1">
        <f t="array" ref="H559">IF(Kredyt1[[#This Row],[Data]]="","",G559+MarżaBAnku)</f>
        <v/>
      </c>
      <c r="I559" s="73" t="str">
        <f>IF(Kredyt1[[#This Row],[Data]]="","",Kredyt1[[#This Row],[Cała rata]]-Kredyt1[[#This Row],[Kapitał]])</f>
        <v/>
      </c>
      <c r="J559" s="74" t="str" cm="1">
        <f t="array" ref="J559">IFERROR(-PPMT(Kredyt1[[#This Row],[Oprocentowanie]]/12,Kredyt1[[#This Row],[Miesiąc kredytu]],IlośćRat,KwotaKredytu),"")</f>
        <v/>
      </c>
      <c r="K559" s="75" t="str" cm="1">
        <f t="array" ref="K559">IF(Kredyt1[[#This Row],[Miesiąc kredytu]]="","",-PMT(Kredyt1[[#This Row],[Oprocentowanie]]/12,IlośćRat,KwotaKredytu))</f>
        <v/>
      </c>
      <c r="L559" s="75">
        <v>0</v>
      </c>
      <c r="M559" s="76" t="str">
        <f>IFERROR(M558-J559-Kredyt1[[#This Row],[Nadpłata]],"")</f>
        <v/>
      </c>
    </row>
    <row r="560" spans="4:13">
      <c r="D560" s="70" t="str" cm="1">
        <f t="array" ref="D560">IF(ROW(555:555)&lt;=IlośćRat,ROW(555:555),"")</f>
        <v/>
      </c>
      <c r="E560" s="70" t="str">
        <f>IFERROR(ROUNDUP(Kredyt1[[#This Row],[Miesiąc kredytu]]/12,0),"")</f>
        <v/>
      </c>
      <c r="F560" s="71" t="str">
        <f t="shared" si="8"/>
        <v/>
      </c>
      <c r="G560" s="72" t="str" cm="1">
        <f t="array" ref="G560">IF(Kredyt1[[#This Row],[Data]]="","",WIBOR3M)</f>
        <v/>
      </c>
      <c r="H560" s="72" t="str" cm="1">
        <f t="array" ref="H560">IF(Kredyt1[[#This Row],[Data]]="","",G560+MarżaBAnku)</f>
        <v/>
      </c>
      <c r="I560" s="73" t="str">
        <f>IF(Kredyt1[[#This Row],[Data]]="","",Kredyt1[[#This Row],[Cała rata]]-Kredyt1[[#This Row],[Kapitał]])</f>
        <v/>
      </c>
      <c r="J560" s="74" t="str" cm="1">
        <f t="array" ref="J560">IFERROR(-PPMT(Kredyt1[[#This Row],[Oprocentowanie]]/12,Kredyt1[[#This Row],[Miesiąc kredytu]],IlośćRat,KwotaKredytu),"")</f>
        <v/>
      </c>
      <c r="K560" s="75" t="str" cm="1">
        <f t="array" ref="K560">IF(Kredyt1[[#This Row],[Miesiąc kredytu]]="","",-PMT(Kredyt1[[#This Row],[Oprocentowanie]]/12,IlośćRat,KwotaKredytu))</f>
        <v/>
      </c>
      <c r="L560" s="75">
        <v>0</v>
      </c>
      <c r="M560" s="76" t="str">
        <f>IFERROR(M559-J560-Kredyt1[[#This Row],[Nadpłata]],"")</f>
        <v/>
      </c>
    </row>
    <row r="561" spans="4:13">
      <c r="D561" s="70" t="str" cm="1">
        <f t="array" ref="D561">IF(ROW(556:556)&lt;=IlośćRat,ROW(556:556),"")</f>
        <v/>
      </c>
      <c r="E561" s="70" t="str">
        <f>IFERROR(ROUNDUP(Kredyt1[[#This Row],[Miesiąc kredytu]]/12,0),"")</f>
        <v/>
      </c>
      <c r="F561" s="71" t="str">
        <f t="shared" si="8"/>
        <v/>
      </c>
      <c r="G561" s="72" t="str" cm="1">
        <f t="array" ref="G561">IF(Kredyt1[[#This Row],[Data]]="","",WIBOR3M)</f>
        <v/>
      </c>
      <c r="H561" s="72" t="str" cm="1">
        <f t="array" ref="H561">IF(Kredyt1[[#This Row],[Data]]="","",G561+MarżaBAnku)</f>
        <v/>
      </c>
      <c r="I561" s="73" t="str">
        <f>IF(Kredyt1[[#This Row],[Data]]="","",Kredyt1[[#This Row],[Cała rata]]-Kredyt1[[#This Row],[Kapitał]])</f>
        <v/>
      </c>
      <c r="J561" s="74" t="str" cm="1">
        <f t="array" ref="J561">IFERROR(-PPMT(Kredyt1[[#This Row],[Oprocentowanie]]/12,Kredyt1[[#This Row],[Miesiąc kredytu]],IlośćRat,KwotaKredytu),"")</f>
        <v/>
      </c>
      <c r="K561" s="75" t="str" cm="1">
        <f t="array" ref="K561">IF(Kredyt1[[#This Row],[Miesiąc kredytu]]="","",-PMT(Kredyt1[[#This Row],[Oprocentowanie]]/12,IlośćRat,KwotaKredytu))</f>
        <v/>
      </c>
      <c r="L561" s="75">
        <v>0</v>
      </c>
      <c r="M561" s="76" t="str">
        <f>IFERROR(M560-J561-Kredyt1[[#This Row],[Nadpłata]],"")</f>
        <v/>
      </c>
    </row>
    <row r="562" spans="4:13">
      <c r="D562" s="70" t="str" cm="1">
        <f t="array" ref="D562">IF(ROW(557:557)&lt;=IlośćRat,ROW(557:557),"")</f>
        <v/>
      </c>
      <c r="E562" s="70" t="str">
        <f>IFERROR(ROUNDUP(Kredyt1[[#This Row],[Miesiąc kredytu]]/12,0),"")</f>
        <v/>
      </c>
      <c r="F562" s="71" t="str">
        <f t="shared" si="8"/>
        <v/>
      </c>
      <c r="G562" s="72" t="str" cm="1">
        <f t="array" ref="G562">IF(Kredyt1[[#This Row],[Data]]="","",WIBOR3M)</f>
        <v/>
      </c>
      <c r="H562" s="72" t="str" cm="1">
        <f t="array" ref="H562">IF(Kredyt1[[#This Row],[Data]]="","",G562+MarżaBAnku)</f>
        <v/>
      </c>
      <c r="I562" s="73" t="str">
        <f>IF(Kredyt1[[#This Row],[Data]]="","",Kredyt1[[#This Row],[Cała rata]]-Kredyt1[[#This Row],[Kapitał]])</f>
        <v/>
      </c>
      <c r="J562" s="74" t="str" cm="1">
        <f t="array" ref="J562">IFERROR(-PPMT(Kredyt1[[#This Row],[Oprocentowanie]]/12,Kredyt1[[#This Row],[Miesiąc kredytu]],IlośćRat,KwotaKredytu),"")</f>
        <v/>
      </c>
      <c r="K562" s="75" t="str" cm="1">
        <f t="array" ref="K562">IF(Kredyt1[[#This Row],[Miesiąc kredytu]]="","",-PMT(Kredyt1[[#This Row],[Oprocentowanie]]/12,IlośćRat,KwotaKredytu))</f>
        <v/>
      </c>
      <c r="L562" s="75">
        <v>0</v>
      </c>
      <c r="M562" s="76" t="str">
        <f>IFERROR(M561-J562-Kredyt1[[#This Row],[Nadpłata]],"")</f>
        <v/>
      </c>
    </row>
    <row r="563" spans="4:13">
      <c r="D563" s="70" t="str" cm="1">
        <f t="array" ref="D563">IF(ROW(558:558)&lt;=IlośćRat,ROW(558:558),"")</f>
        <v/>
      </c>
      <c r="E563" s="70" t="str">
        <f>IFERROR(ROUNDUP(Kredyt1[[#This Row],[Miesiąc kredytu]]/12,0),"")</f>
        <v/>
      </c>
      <c r="F563" s="71" t="str">
        <f t="shared" si="8"/>
        <v/>
      </c>
      <c r="G563" s="72" t="str" cm="1">
        <f t="array" ref="G563">IF(Kredyt1[[#This Row],[Data]]="","",WIBOR3M)</f>
        <v/>
      </c>
      <c r="H563" s="72" t="str" cm="1">
        <f t="array" ref="H563">IF(Kredyt1[[#This Row],[Data]]="","",G563+MarżaBAnku)</f>
        <v/>
      </c>
      <c r="I563" s="73" t="str">
        <f>IF(Kredyt1[[#This Row],[Data]]="","",Kredyt1[[#This Row],[Cała rata]]-Kredyt1[[#This Row],[Kapitał]])</f>
        <v/>
      </c>
      <c r="J563" s="74" t="str" cm="1">
        <f t="array" ref="J563">IFERROR(-PPMT(Kredyt1[[#This Row],[Oprocentowanie]]/12,Kredyt1[[#This Row],[Miesiąc kredytu]],IlośćRat,KwotaKredytu),"")</f>
        <v/>
      </c>
      <c r="K563" s="75" t="str" cm="1">
        <f t="array" ref="K563">IF(Kredyt1[[#This Row],[Miesiąc kredytu]]="","",-PMT(Kredyt1[[#This Row],[Oprocentowanie]]/12,IlośćRat,KwotaKredytu))</f>
        <v/>
      </c>
      <c r="L563" s="75">
        <v>0</v>
      </c>
      <c r="M563" s="76" t="str">
        <f>IFERROR(M562-J563-Kredyt1[[#This Row],[Nadpłata]],"")</f>
        <v/>
      </c>
    </row>
    <row r="564" spans="4:13">
      <c r="D564" s="70" t="str" cm="1">
        <f t="array" ref="D564">IF(ROW(559:559)&lt;=IlośćRat,ROW(559:559),"")</f>
        <v/>
      </c>
      <c r="E564" s="70" t="str">
        <f>IFERROR(ROUNDUP(Kredyt1[[#This Row],[Miesiąc kredytu]]/12,0),"")</f>
        <v/>
      </c>
      <c r="F564" s="71" t="str">
        <f t="shared" si="8"/>
        <v/>
      </c>
      <c r="G564" s="72" t="str" cm="1">
        <f t="array" ref="G564">IF(Kredyt1[[#This Row],[Data]]="","",WIBOR3M)</f>
        <v/>
      </c>
      <c r="H564" s="72" t="str" cm="1">
        <f t="array" ref="H564">IF(Kredyt1[[#This Row],[Data]]="","",G564+MarżaBAnku)</f>
        <v/>
      </c>
      <c r="I564" s="73" t="str">
        <f>IF(Kredyt1[[#This Row],[Data]]="","",Kredyt1[[#This Row],[Cała rata]]-Kredyt1[[#This Row],[Kapitał]])</f>
        <v/>
      </c>
      <c r="J564" s="74" t="str" cm="1">
        <f t="array" ref="J564">IFERROR(-PPMT(Kredyt1[[#This Row],[Oprocentowanie]]/12,Kredyt1[[#This Row],[Miesiąc kredytu]],IlośćRat,KwotaKredytu),"")</f>
        <v/>
      </c>
      <c r="K564" s="75" t="str" cm="1">
        <f t="array" ref="K564">IF(Kredyt1[[#This Row],[Miesiąc kredytu]]="","",-PMT(Kredyt1[[#This Row],[Oprocentowanie]]/12,IlośćRat,KwotaKredytu))</f>
        <v/>
      </c>
      <c r="L564" s="75">
        <v>0</v>
      </c>
      <c r="M564" s="76" t="str">
        <f>IFERROR(M563-J564-Kredyt1[[#This Row],[Nadpłata]],"")</f>
        <v/>
      </c>
    </row>
    <row r="565" spans="4:13">
      <c r="D565" s="70" t="str" cm="1">
        <f t="array" ref="D565">IF(ROW(560:560)&lt;=IlośćRat,ROW(560:560),"")</f>
        <v/>
      </c>
      <c r="E565" s="70" t="str">
        <f>IFERROR(ROUNDUP(Kredyt1[[#This Row],[Miesiąc kredytu]]/12,0),"")</f>
        <v/>
      </c>
      <c r="F565" s="71" t="str">
        <f t="shared" si="8"/>
        <v/>
      </c>
      <c r="G565" s="72" t="str" cm="1">
        <f t="array" ref="G565">IF(Kredyt1[[#This Row],[Data]]="","",WIBOR3M)</f>
        <v/>
      </c>
      <c r="H565" s="72" t="str" cm="1">
        <f t="array" ref="H565">IF(Kredyt1[[#This Row],[Data]]="","",G565+MarżaBAnku)</f>
        <v/>
      </c>
      <c r="I565" s="73" t="str">
        <f>IF(Kredyt1[[#This Row],[Data]]="","",Kredyt1[[#This Row],[Cała rata]]-Kredyt1[[#This Row],[Kapitał]])</f>
        <v/>
      </c>
      <c r="J565" s="74" t="str" cm="1">
        <f t="array" ref="J565">IFERROR(-PPMT(Kredyt1[[#This Row],[Oprocentowanie]]/12,Kredyt1[[#This Row],[Miesiąc kredytu]],IlośćRat,KwotaKredytu),"")</f>
        <v/>
      </c>
      <c r="K565" s="75" t="str" cm="1">
        <f t="array" ref="K565">IF(Kredyt1[[#This Row],[Miesiąc kredytu]]="","",-PMT(Kredyt1[[#This Row],[Oprocentowanie]]/12,IlośćRat,KwotaKredytu))</f>
        <v/>
      </c>
      <c r="L565" s="75">
        <v>0</v>
      </c>
      <c r="M565" s="76" t="str">
        <f>IFERROR(M564-J565-Kredyt1[[#This Row],[Nadpłata]],"")</f>
        <v/>
      </c>
    </row>
    <row r="566" spans="4:13">
      <c r="D566" s="70" t="str" cm="1">
        <f t="array" ref="D566">IF(ROW(561:561)&lt;=IlośćRat,ROW(561:561),"")</f>
        <v/>
      </c>
      <c r="E566" s="70" t="str">
        <f>IFERROR(ROUNDUP(Kredyt1[[#This Row],[Miesiąc kredytu]]/12,0),"")</f>
        <v/>
      </c>
      <c r="F566" s="71" t="str">
        <f t="shared" si="8"/>
        <v/>
      </c>
      <c r="G566" s="72" t="str" cm="1">
        <f t="array" ref="G566">IF(Kredyt1[[#This Row],[Data]]="","",WIBOR3M)</f>
        <v/>
      </c>
      <c r="H566" s="72" t="str" cm="1">
        <f t="array" ref="H566">IF(Kredyt1[[#This Row],[Data]]="","",G566+MarżaBAnku)</f>
        <v/>
      </c>
      <c r="I566" s="73" t="str">
        <f>IF(Kredyt1[[#This Row],[Data]]="","",Kredyt1[[#This Row],[Cała rata]]-Kredyt1[[#This Row],[Kapitał]])</f>
        <v/>
      </c>
      <c r="J566" s="74" t="str" cm="1">
        <f t="array" ref="J566">IFERROR(-PPMT(Kredyt1[[#This Row],[Oprocentowanie]]/12,Kredyt1[[#This Row],[Miesiąc kredytu]],IlośćRat,KwotaKredytu),"")</f>
        <v/>
      </c>
      <c r="K566" s="75" t="str" cm="1">
        <f t="array" ref="K566">IF(Kredyt1[[#This Row],[Miesiąc kredytu]]="","",-PMT(Kredyt1[[#This Row],[Oprocentowanie]]/12,IlośćRat,KwotaKredytu))</f>
        <v/>
      </c>
      <c r="L566" s="75">
        <v>0</v>
      </c>
      <c r="M566" s="76" t="str">
        <f>IFERROR(M565-J566-Kredyt1[[#This Row],[Nadpłata]],"")</f>
        <v/>
      </c>
    </row>
    <row r="567" spans="4:13">
      <c r="D567" s="70" t="str" cm="1">
        <f t="array" ref="D567">IF(ROW(562:562)&lt;=IlośćRat,ROW(562:562),"")</f>
        <v/>
      </c>
      <c r="E567" s="70" t="str">
        <f>IFERROR(ROUNDUP(Kredyt1[[#This Row],[Miesiąc kredytu]]/12,0),"")</f>
        <v/>
      </c>
      <c r="F567" s="71" t="str">
        <f t="shared" si="8"/>
        <v/>
      </c>
      <c r="G567" s="72" t="str" cm="1">
        <f t="array" ref="G567">IF(Kredyt1[[#This Row],[Data]]="","",WIBOR3M)</f>
        <v/>
      </c>
      <c r="H567" s="72" t="str" cm="1">
        <f t="array" ref="H567">IF(Kredyt1[[#This Row],[Data]]="","",G567+MarżaBAnku)</f>
        <v/>
      </c>
      <c r="I567" s="73" t="str">
        <f>IF(Kredyt1[[#This Row],[Data]]="","",Kredyt1[[#This Row],[Cała rata]]-Kredyt1[[#This Row],[Kapitał]])</f>
        <v/>
      </c>
      <c r="J567" s="74" t="str" cm="1">
        <f t="array" ref="J567">IFERROR(-PPMT(Kredyt1[[#This Row],[Oprocentowanie]]/12,Kredyt1[[#This Row],[Miesiąc kredytu]],IlośćRat,KwotaKredytu),"")</f>
        <v/>
      </c>
      <c r="K567" s="75" t="str" cm="1">
        <f t="array" ref="K567">IF(Kredyt1[[#This Row],[Miesiąc kredytu]]="","",-PMT(Kredyt1[[#This Row],[Oprocentowanie]]/12,IlośćRat,KwotaKredytu))</f>
        <v/>
      </c>
      <c r="L567" s="75">
        <v>0</v>
      </c>
      <c r="M567" s="76" t="str">
        <f>IFERROR(M566-J567-Kredyt1[[#This Row],[Nadpłata]],"")</f>
        <v/>
      </c>
    </row>
    <row r="568" spans="4:13">
      <c r="D568" s="70" t="str" cm="1">
        <f t="array" ref="D568">IF(ROW(563:563)&lt;=IlośćRat,ROW(563:563),"")</f>
        <v/>
      </c>
      <c r="E568" s="70" t="str">
        <f>IFERROR(ROUNDUP(Kredyt1[[#This Row],[Miesiąc kredytu]]/12,0),"")</f>
        <v/>
      </c>
      <c r="F568" s="71" t="str">
        <f t="shared" si="8"/>
        <v/>
      </c>
      <c r="G568" s="72" t="str" cm="1">
        <f t="array" ref="G568">IF(Kredyt1[[#This Row],[Data]]="","",WIBOR3M)</f>
        <v/>
      </c>
      <c r="H568" s="72" t="str" cm="1">
        <f t="array" ref="H568">IF(Kredyt1[[#This Row],[Data]]="","",G568+MarżaBAnku)</f>
        <v/>
      </c>
      <c r="I568" s="73" t="str">
        <f>IF(Kredyt1[[#This Row],[Data]]="","",Kredyt1[[#This Row],[Cała rata]]-Kredyt1[[#This Row],[Kapitał]])</f>
        <v/>
      </c>
      <c r="J568" s="74" t="str" cm="1">
        <f t="array" ref="J568">IFERROR(-PPMT(Kredyt1[[#This Row],[Oprocentowanie]]/12,Kredyt1[[#This Row],[Miesiąc kredytu]],IlośćRat,KwotaKredytu),"")</f>
        <v/>
      </c>
      <c r="K568" s="75" t="str" cm="1">
        <f t="array" ref="K568">IF(Kredyt1[[#This Row],[Miesiąc kredytu]]="","",-PMT(Kredyt1[[#This Row],[Oprocentowanie]]/12,IlośćRat,KwotaKredytu))</f>
        <v/>
      </c>
      <c r="L568" s="75">
        <v>0</v>
      </c>
      <c r="M568" s="76" t="str">
        <f>IFERROR(M567-J568-Kredyt1[[#This Row],[Nadpłata]],"")</f>
        <v/>
      </c>
    </row>
    <row r="569" spans="4:13">
      <c r="D569" s="70" t="str" cm="1">
        <f t="array" ref="D569">IF(ROW(564:564)&lt;=IlośćRat,ROW(564:564),"")</f>
        <v/>
      </c>
      <c r="E569" s="70" t="str">
        <f>IFERROR(ROUNDUP(Kredyt1[[#This Row],[Miesiąc kredytu]]/12,0),"")</f>
        <v/>
      </c>
      <c r="F569" s="71" t="str">
        <f t="shared" si="8"/>
        <v/>
      </c>
      <c r="G569" s="72" t="str" cm="1">
        <f t="array" ref="G569">IF(Kredyt1[[#This Row],[Data]]="","",WIBOR3M)</f>
        <v/>
      </c>
      <c r="H569" s="72" t="str" cm="1">
        <f t="array" ref="H569">IF(Kredyt1[[#This Row],[Data]]="","",G569+MarżaBAnku)</f>
        <v/>
      </c>
      <c r="I569" s="73" t="str">
        <f>IF(Kredyt1[[#This Row],[Data]]="","",Kredyt1[[#This Row],[Cała rata]]-Kredyt1[[#This Row],[Kapitał]])</f>
        <v/>
      </c>
      <c r="J569" s="74" t="str" cm="1">
        <f t="array" ref="J569">IFERROR(-PPMT(Kredyt1[[#This Row],[Oprocentowanie]]/12,Kredyt1[[#This Row],[Miesiąc kredytu]],IlośćRat,KwotaKredytu),"")</f>
        <v/>
      </c>
      <c r="K569" s="75" t="str" cm="1">
        <f t="array" ref="K569">IF(Kredyt1[[#This Row],[Miesiąc kredytu]]="","",-PMT(Kredyt1[[#This Row],[Oprocentowanie]]/12,IlośćRat,KwotaKredytu))</f>
        <v/>
      </c>
      <c r="L569" s="75">
        <v>0</v>
      </c>
      <c r="M569" s="76" t="str">
        <f>IFERROR(M568-J569-Kredyt1[[#This Row],[Nadpłata]],"")</f>
        <v/>
      </c>
    </row>
    <row r="570" spans="4:13">
      <c r="D570" s="70" t="str" cm="1">
        <f t="array" ref="D570">IF(ROW(565:565)&lt;=IlośćRat,ROW(565:565),"")</f>
        <v/>
      </c>
      <c r="E570" s="70" t="str">
        <f>IFERROR(ROUNDUP(Kredyt1[[#This Row],[Miesiąc kredytu]]/12,0),"")</f>
        <v/>
      </c>
      <c r="F570" s="71" t="str">
        <f t="shared" si="8"/>
        <v/>
      </c>
      <c r="G570" s="72" t="str" cm="1">
        <f t="array" ref="G570">IF(Kredyt1[[#This Row],[Data]]="","",WIBOR3M)</f>
        <v/>
      </c>
      <c r="H570" s="72" t="str" cm="1">
        <f t="array" ref="H570">IF(Kredyt1[[#This Row],[Data]]="","",G570+MarżaBAnku)</f>
        <v/>
      </c>
      <c r="I570" s="73" t="str">
        <f>IF(Kredyt1[[#This Row],[Data]]="","",Kredyt1[[#This Row],[Cała rata]]-Kredyt1[[#This Row],[Kapitał]])</f>
        <v/>
      </c>
      <c r="J570" s="74" t="str" cm="1">
        <f t="array" ref="J570">IFERROR(-PPMT(Kredyt1[[#This Row],[Oprocentowanie]]/12,Kredyt1[[#This Row],[Miesiąc kredytu]],IlośćRat,KwotaKredytu),"")</f>
        <v/>
      </c>
      <c r="K570" s="75" t="str" cm="1">
        <f t="array" ref="K570">IF(Kredyt1[[#This Row],[Miesiąc kredytu]]="","",-PMT(Kredyt1[[#This Row],[Oprocentowanie]]/12,IlośćRat,KwotaKredytu))</f>
        <v/>
      </c>
      <c r="L570" s="75">
        <v>0</v>
      </c>
      <c r="M570" s="76" t="str">
        <f>IFERROR(M569-J570-Kredyt1[[#This Row],[Nadpłata]],"")</f>
        <v/>
      </c>
    </row>
    <row r="571" spans="4:13">
      <c r="D571" s="70" t="str" cm="1">
        <f t="array" ref="D571">IF(ROW(566:566)&lt;=IlośćRat,ROW(566:566),"")</f>
        <v/>
      </c>
      <c r="E571" s="70" t="str">
        <f>IFERROR(ROUNDUP(Kredyt1[[#This Row],[Miesiąc kredytu]]/12,0),"")</f>
        <v/>
      </c>
      <c r="F571" s="71" t="str">
        <f t="shared" si="8"/>
        <v/>
      </c>
      <c r="G571" s="72" t="str" cm="1">
        <f t="array" ref="G571">IF(Kredyt1[[#This Row],[Data]]="","",WIBOR3M)</f>
        <v/>
      </c>
      <c r="H571" s="72" t="str" cm="1">
        <f t="array" ref="H571">IF(Kredyt1[[#This Row],[Data]]="","",G571+MarżaBAnku)</f>
        <v/>
      </c>
      <c r="I571" s="73" t="str">
        <f>IF(Kredyt1[[#This Row],[Data]]="","",Kredyt1[[#This Row],[Cała rata]]-Kredyt1[[#This Row],[Kapitał]])</f>
        <v/>
      </c>
      <c r="J571" s="74" t="str" cm="1">
        <f t="array" ref="J571">IFERROR(-PPMT(Kredyt1[[#This Row],[Oprocentowanie]]/12,Kredyt1[[#This Row],[Miesiąc kredytu]],IlośćRat,KwotaKredytu),"")</f>
        <v/>
      </c>
      <c r="K571" s="75" t="str" cm="1">
        <f t="array" ref="K571">IF(Kredyt1[[#This Row],[Miesiąc kredytu]]="","",-PMT(Kredyt1[[#This Row],[Oprocentowanie]]/12,IlośćRat,KwotaKredytu))</f>
        <v/>
      </c>
      <c r="L571" s="75">
        <v>0</v>
      </c>
      <c r="M571" s="76" t="str">
        <f>IFERROR(M570-J571-Kredyt1[[#This Row],[Nadpłata]],"")</f>
        <v/>
      </c>
    </row>
    <row r="572" spans="4:13">
      <c r="D572" s="70" t="str" cm="1">
        <f t="array" ref="D572">IF(ROW(567:567)&lt;=IlośćRat,ROW(567:567),"")</f>
        <v/>
      </c>
      <c r="E572" s="70" t="str">
        <f>IFERROR(ROUNDUP(Kredyt1[[#This Row],[Miesiąc kredytu]]/12,0),"")</f>
        <v/>
      </c>
      <c r="F572" s="71" t="str">
        <f t="shared" si="8"/>
        <v/>
      </c>
      <c r="G572" s="72" t="str" cm="1">
        <f t="array" ref="G572">IF(Kredyt1[[#This Row],[Data]]="","",WIBOR3M)</f>
        <v/>
      </c>
      <c r="H572" s="72" t="str" cm="1">
        <f t="array" ref="H572">IF(Kredyt1[[#This Row],[Data]]="","",G572+MarżaBAnku)</f>
        <v/>
      </c>
      <c r="I572" s="73" t="str">
        <f>IF(Kredyt1[[#This Row],[Data]]="","",Kredyt1[[#This Row],[Cała rata]]-Kredyt1[[#This Row],[Kapitał]])</f>
        <v/>
      </c>
      <c r="J572" s="74" t="str" cm="1">
        <f t="array" ref="J572">IFERROR(-PPMT(Kredyt1[[#This Row],[Oprocentowanie]]/12,Kredyt1[[#This Row],[Miesiąc kredytu]],IlośćRat,KwotaKredytu),"")</f>
        <v/>
      </c>
      <c r="K572" s="75" t="str" cm="1">
        <f t="array" ref="K572">IF(Kredyt1[[#This Row],[Miesiąc kredytu]]="","",-PMT(Kredyt1[[#This Row],[Oprocentowanie]]/12,IlośćRat,KwotaKredytu))</f>
        <v/>
      </c>
      <c r="L572" s="75">
        <v>0</v>
      </c>
      <c r="M572" s="76" t="str">
        <f>IFERROR(M571-J572-Kredyt1[[#This Row],[Nadpłata]],"")</f>
        <v/>
      </c>
    </row>
    <row r="573" spans="4:13">
      <c r="D573" s="70" t="str" cm="1">
        <f t="array" ref="D573">IF(ROW(568:568)&lt;=IlośćRat,ROW(568:568),"")</f>
        <v/>
      </c>
      <c r="E573" s="70" t="str">
        <f>IFERROR(ROUNDUP(Kredyt1[[#This Row],[Miesiąc kredytu]]/12,0),"")</f>
        <v/>
      </c>
      <c r="F573" s="71" t="str">
        <f t="shared" si="8"/>
        <v/>
      </c>
      <c r="G573" s="72" t="str" cm="1">
        <f t="array" ref="G573">IF(Kredyt1[[#This Row],[Data]]="","",WIBOR3M)</f>
        <v/>
      </c>
      <c r="H573" s="72" t="str" cm="1">
        <f t="array" ref="H573">IF(Kredyt1[[#This Row],[Data]]="","",G573+MarżaBAnku)</f>
        <v/>
      </c>
      <c r="I573" s="73" t="str">
        <f>IF(Kredyt1[[#This Row],[Data]]="","",Kredyt1[[#This Row],[Cała rata]]-Kredyt1[[#This Row],[Kapitał]])</f>
        <v/>
      </c>
      <c r="J573" s="74" t="str" cm="1">
        <f t="array" ref="J573">IFERROR(-PPMT(Kredyt1[[#This Row],[Oprocentowanie]]/12,Kredyt1[[#This Row],[Miesiąc kredytu]],IlośćRat,KwotaKredytu),"")</f>
        <v/>
      </c>
      <c r="K573" s="75" t="str" cm="1">
        <f t="array" ref="K573">IF(Kredyt1[[#This Row],[Miesiąc kredytu]]="","",-PMT(Kredyt1[[#This Row],[Oprocentowanie]]/12,IlośćRat,KwotaKredytu))</f>
        <v/>
      </c>
      <c r="L573" s="75">
        <v>0</v>
      </c>
      <c r="M573" s="76" t="str">
        <f>IFERROR(M572-J573-Kredyt1[[#This Row],[Nadpłata]],"")</f>
        <v/>
      </c>
    </row>
    <row r="574" spans="4:13">
      <c r="D574" s="70" t="str" cm="1">
        <f t="array" ref="D574">IF(ROW(569:569)&lt;=IlośćRat,ROW(569:569),"")</f>
        <v/>
      </c>
      <c r="E574" s="70" t="str">
        <f>IFERROR(ROUNDUP(Kredyt1[[#This Row],[Miesiąc kredytu]]/12,0),"")</f>
        <v/>
      </c>
      <c r="F574" s="71" t="str">
        <f t="shared" si="8"/>
        <v/>
      </c>
      <c r="G574" s="72" t="str" cm="1">
        <f t="array" ref="G574">IF(Kredyt1[[#This Row],[Data]]="","",WIBOR3M)</f>
        <v/>
      </c>
      <c r="H574" s="72" t="str" cm="1">
        <f t="array" ref="H574">IF(Kredyt1[[#This Row],[Data]]="","",G574+MarżaBAnku)</f>
        <v/>
      </c>
      <c r="I574" s="73" t="str">
        <f>IF(Kredyt1[[#This Row],[Data]]="","",Kredyt1[[#This Row],[Cała rata]]-Kredyt1[[#This Row],[Kapitał]])</f>
        <v/>
      </c>
      <c r="J574" s="74" t="str" cm="1">
        <f t="array" ref="J574">IFERROR(-PPMT(Kredyt1[[#This Row],[Oprocentowanie]]/12,Kredyt1[[#This Row],[Miesiąc kredytu]],IlośćRat,KwotaKredytu),"")</f>
        <v/>
      </c>
      <c r="K574" s="75" t="str" cm="1">
        <f t="array" ref="K574">IF(Kredyt1[[#This Row],[Miesiąc kredytu]]="","",-PMT(Kredyt1[[#This Row],[Oprocentowanie]]/12,IlośćRat,KwotaKredytu))</f>
        <v/>
      </c>
      <c r="L574" s="75">
        <v>0</v>
      </c>
      <c r="M574" s="76" t="str">
        <f>IFERROR(M573-J574-Kredyt1[[#This Row],[Nadpłata]],"")</f>
        <v/>
      </c>
    </row>
    <row r="575" spans="4:13">
      <c r="D575" s="70" t="str" cm="1">
        <f t="array" ref="D575">IF(ROW(570:570)&lt;=IlośćRat,ROW(570:570),"")</f>
        <v/>
      </c>
      <c r="E575" s="70" t="str">
        <f>IFERROR(ROUNDUP(Kredyt1[[#This Row],[Miesiąc kredytu]]/12,0),"")</f>
        <v/>
      </c>
      <c r="F575" s="71" t="str">
        <f t="shared" si="8"/>
        <v/>
      </c>
      <c r="G575" s="72" t="str" cm="1">
        <f t="array" ref="G575">IF(Kredyt1[[#This Row],[Data]]="","",WIBOR3M)</f>
        <v/>
      </c>
      <c r="H575" s="72" t="str" cm="1">
        <f t="array" ref="H575">IF(Kredyt1[[#This Row],[Data]]="","",G575+MarżaBAnku)</f>
        <v/>
      </c>
      <c r="I575" s="73" t="str">
        <f>IF(Kredyt1[[#This Row],[Data]]="","",Kredyt1[[#This Row],[Cała rata]]-Kredyt1[[#This Row],[Kapitał]])</f>
        <v/>
      </c>
      <c r="J575" s="74" t="str" cm="1">
        <f t="array" ref="J575">IFERROR(-PPMT(Kredyt1[[#This Row],[Oprocentowanie]]/12,Kredyt1[[#This Row],[Miesiąc kredytu]],IlośćRat,KwotaKredytu),"")</f>
        <v/>
      </c>
      <c r="K575" s="75" t="str" cm="1">
        <f t="array" ref="K575">IF(Kredyt1[[#This Row],[Miesiąc kredytu]]="","",-PMT(Kredyt1[[#This Row],[Oprocentowanie]]/12,IlośćRat,KwotaKredytu))</f>
        <v/>
      </c>
      <c r="L575" s="75">
        <v>0</v>
      </c>
      <c r="M575" s="76" t="str">
        <f>IFERROR(M574-J575-Kredyt1[[#This Row],[Nadpłata]],"")</f>
        <v/>
      </c>
    </row>
    <row r="576" spans="4:13">
      <c r="D576" s="70" t="str" cm="1">
        <f t="array" ref="D576">IF(ROW(571:571)&lt;=IlośćRat,ROW(571:571),"")</f>
        <v/>
      </c>
      <c r="E576" s="70" t="str">
        <f>IFERROR(ROUNDUP(Kredyt1[[#This Row],[Miesiąc kredytu]]/12,0),"")</f>
        <v/>
      </c>
      <c r="F576" s="71" t="str">
        <f t="shared" si="8"/>
        <v/>
      </c>
      <c r="G576" s="72" t="str" cm="1">
        <f t="array" ref="G576">IF(Kredyt1[[#This Row],[Data]]="","",WIBOR3M)</f>
        <v/>
      </c>
      <c r="H576" s="72" t="str" cm="1">
        <f t="array" ref="H576">IF(Kredyt1[[#This Row],[Data]]="","",G576+MarżaBAnku)</f>
        <v/>
      </c>
      <c r="I576" s="73" t="str">
        <f>IF(Kredyt1[[#This Row],[Data]]="","",Kredyt1[[#This Row],[Cała rata]]-Kredyt1[[#This Row],[Kapitał]])</f>
        <v/>
      </c>
      <c r="J576" s="74" t="str" cm="1">
        <f t="array" ref="J576">IFERROR(-PPMT(Kredyt1[[#This Row],[Oprocentowanie]]/12,Kredyt1[[#This Row],[Miesiąc kredytu]],IlośćRat,KwotaKredytu),"")</f>
        <v/>
      </c>
      <c r="K576" s="75" t="str" cm="1">
        <f t="array" ref="K576">IF(Kredyt1[[#This Row],[Miesiąc kredytu]]="","",-PMT(Kredyt1[[#This Row],[Oprocentowanie]]/12,IlośćRat,KwotaKredytu))</f>
        <v/>
      </c>
      <c r="L576" s="75">
        <v>0</v>
      </c>
      <c r="M576" s="76" t="str">
        <f>IFERROR(M575-J576-Kredyt1[[#This Row],[Nadpłata]],"")</f>
        <v/>
      </c>
    </row>
    <row r="577" spans="4:13">
      <c r="D577" s="70" t="str" cm="1">
        <f t="array" ref="D577">IF(ROW(572:572)&lt;=IlośćRat,ROW(572:572),"")</f>
        <v/>
      </c>
      <c r="E577" s="70" t="str">
        <f>IFERROR(ROUNDUP(Kredyt1[[#This Row],[Miesiąc kredytu]]/12,0),"")</f>
        <v/>
      </c>
      <c r="F577" s="71" t="str">
        <f t="shared" si="8"/>
        <v/>
      </c>
      <c r="G577" s="72" t="str" cm="1">
        <f t="array" ref="G577">IF(Kredyt1[[#This Row],[Data]]="","",WIBOR3M)</f>
        <v/>
      </c>
      <c r="H577" s="72" t="str" cm="1">
        <f t="array" ref="H577">IF(Kredyt1[[#This Row],[Data]]="","",G577+MarżaBAnku)</f>
        <v/>
      </c>
      <c r="I577" s="73" t="str">
        <f>IF(Kredyt1[[#This Row],[Data]]="","",Kredyt1[[#This Row],[Cała rata]]-Kredyt1[[#This Row],[Kapitał]])</f>
        <v/>
      </c>
      <c r="J577" s="74" t="str" cm="1">
        <f t="array" ref="J577">IFERROR(-PPMT(Kredyt1[[#This Row],[Oprocentowanie]]/12,Kredyt1[[#This Row],[Miesiąc kredytu]],IlośćRat,KwotaKredytu),"")</f>
        <v/>
      </c>
      <c r="K577" s="75" t="str" cm="1">
        <f t="array" ref="K577">IF(Kredyt1[[#This Row],[Miesiąc kredytu]]="","",-PMT(Kredyt1[[#This Row],[Oprocentowanie]]/12,IlośćRat,KwotaKredytu))</f>
        <v/>
      </c>
      <c r="L577" s="75">
        <v>0</v>
      </c>
      <c r="M577" s="76" t="str">
        <f>IFERROR(M576-J577-Kredyt1[[#This Row],[Nadpłata]],"")</f>
        <v/>
      </c>
    </row>
    <row r="578" spans="4:13">
      <c r="D578" s="70" t="str" cm="1">
        <f t="array" ref="D578">IF(ROW(573:573)&lt;=IlośćRat,ROW(573:573),"")</f>
        <v/>
      </c>
      <c r="E578" s="70" t="str">
        <f>IFERROR(ROUNDUP(Kredyt1[[#This Row],[Miesiąc kredytu]]/12,0),"")</f>
        <v/>
      </c>
      <c r="F578" s="71" t="str">
        <f t="shared" si="8"/>
        <v/>
      </c>
      <c r="G578" s="72" t="str" cm="1">
        <f t="array" ref="G578">IF(Kredyt1[[#This Row],[Data]]="","",WIBOR3M)</f>
        <v/>
      </c>
      <c r="H578" s="72" t="str" cm="1">
        <f t="array" ref="H578">IF(Kredyt1[[#This Row],[Data]]="","",G578+MarżaBAnku)</f>
        <v/>
      </c>
      <c r="I578" s="73" t="str">
        <f>IF(Kredyt1[[#This Row],[Data]]="","",Kredyt1[[#This Row],[Cała rata]]-Kredyt1[[#This Row],[Kapitał]])</f>
        <v/>
      </c>
      <c r="J578" s="74" t="str" cm="1">
        <f t="array" ref="J578">IFERROR(-PPMT(Kredyt1[[#This Row],[Oprocentowanie]]/12,Kredyt1[[#This Row],[Miesiąc kredytu]],IlośćRat,KwotaKredytu),"")</f>
        <v/>
      </c>
      <c r="K578" s="75" t="str" cm="1">
        <f t="array" ref="K578">IF(Kredyt1[[#This Row],[Miesiąc kredytu]]="","",-PMT(Kredyt1[[#This Row],[Oprocentowanie]]/12,IlośćRat,KwotaKredytu))</f>
        <v/>
      </c>
      <c r="L578" s="75">
        <v>0</v>
      </c>
      <c r="M578" s="76" t="str">
        <f>IFERROR(M577-J578-Kredyt1[[#This Row],[Nadpłata]],"")</f>
        <v/>
      </c>
    </row>
    <row r="579" spans="4:13">
      <c r="D579" s="70" t="str" cm="1">
        <f t="array" ref="D579">IF(ROW(574:574)&lt;=IlośćRat,ROW(574:574),"")</f>
        <v/>
      </c>
      <c r="E579" s="70" t="str">
        <f>IFERROR(ROUNDUP(Kredyt1[[#This Row],[Miesiąc kredytu]]/12,0),"")</f>
        <v/>
      </c>
      <c r="F579" s="71" t="str">
        <f t="shared" si="8"/>
        <v/>
      </c>
      <c r="G579" s="72" t="str" cm="1">
        <f t="array" ref="G579">IF(Kredyt1[[#This Row],[Data]]="","",WIBOR3M)</f>
        <v/>
      </c>
      <c r="H579" s="72" t="str" cm="1">
        <f t="array" ref="H579">IF(Kredyt1[[#This Row],[Data]]="","",G579+MarżaBAnku)</f>
        <v/>
      </c>
      <c r="I579" s="73" t="str">
        <f>IF(Kredyt1[[#This Row],[Data]]="","",Kredyt1[[#This Row],[Cała rata]]-Kredyt1[[#This Row],[Kapitał]])</f>
        <v/>
      </c>
      <c r="J579" s="74" t="str" cm="1">
        <f t="array" ref="J579">IFERROR(-PPMT(Kredyt1[[#This Row],[Oprocentowanie]]/12,Kredyt1[[#This Row],[Miesiąc kredytu]],IlośćRat,KwotaKredytu),"")</f>
        <v/>
      </c>
      <c r="K579" s="75" t="str" cm="1">
        <f t="array" ref="K579">IF(Kredyt1[[#This Row],[Miesiąc kredytu]]="","",-PMT(Kredyt1[[#This Row],[Oprocentowanie]]/12,IlośćRat,KwotaKredytu))</f>
        <v/>
      </c>
      <c r="L579" s="75">
        <v>0</v>
      </c>
      <c r="M579" s="76" t="str">
        <f>IFERROR(M578-J579-Kredyt1[[#This Row],[Nadpłata]],"")</f>
        <v/>
      </c>
    </row>
    <row r="580" spans="4:13">
      <c r="D580" s="70" t="str" cm="1">
        <f t="array" ref="D580">IF(ROW(575:575)&lt;=IlośćRat,ROW(575:575),"")</f>
        <v/>
      </c>
      <c r="E580" s="70" t="str">
        <f>IFERROR(ROUNDUP(Kredyt1[[#This Row],[Miesiąc kredytu]]/12,0),"")</f>
        <v/>
      </c>
      <c r="F580" s="71" t="str">
        <f t="shared" si="8"/>
        <v/>
      </c>
      <c r="G580" s="72" t="str" cm="1">
        <f t="array" ref="G580">IF(Kredyt1[[#This Row],[Data]]="","",WIBOR3M)</f>
        <v/>
      </c>
      <c r="H580" s="72" t="str" cm="1">
        <f t="array" ref="H580">IF(Kredyt1[[#This Row],[Data]]="","",G580+MarżaBAnku)</f>
        <v/>
      </c>
      <c r="I580" s="73" t="str">
        <f>IF(Kredyt1[[#This Row],[Data]]="","",Kredyt1[[#This Row],[Cała rata]]-Kredyt1[[#This Row],[Kapitał]])</f>
        <v/>
      </c>
      <c r="J580" s="74" t="str" cm="1">
        <f t="array" ref="J580">IFERROR(-PPMT(Kredyt1[[#This Row],[Oprocentowanie]]/12,Kredyt1[[#This Row],[Miesiąc kredytu]],IlośćRat,KwotaKredytu),"")</f>
        <v/>
      </c>
      <c r="K580" s="75" t="str" cm="1">
        <f t="array" ref="K580">IF(Kredyt1[[#This Row],[Miesiąc kredytu]]="","",-PMT(Kredyt1[[#This Row],[Oprocentowanie]]/12,IlośćRat,KwotaKredytu))</f>
        <v/>
      </c>
      <c r="L580" s="75">
        <v>0</v>
      </c>
      <c r="M580" s="76" t="str">
        <f>IFERROR(M579-J580-Kredyt1[[#This Row],[Nadpłata]],"")</f>
        <v/>
      </c>
    </row>
    <row r="581" spans="4:13">
      <c r="D581" s="70" t="str" cm="1">
        <f t="array" ref="D581">IF(ROW(576:576)&lt;=IlośćRat,ROW(576:576),"")</f>
        <v/>
      </c>
      <c r="E581" s="70" t="str">
        <f>IFERROR(ROUNDUP(Kredyt1[[#This Row],[Miesiąc kredytu]]/12,0),"")</f>
        <v/>
      </c>
      <c r="F581" s="71" t="str">
        <f t="shared" si="8"/>
        <v/>
      </c>
      <c r="G581" s="72" t="str" cm="1">
        <f t="array" ref="G581">IF(Kredyt1[[#This Row],[Data]]="","",WIBOR3M)</f>
        <v/>
      </c>
      <c r="H581" s="72" t="str" cm="1">
        <f t="array" ref="H581">IF(Kredyt1[[#This Row],[Data]]="","",G581+MarżaBAnku)</f>
        <v/>
      </c>
      <c r="I581" s="73" t="str">
        <f>IF(Kredyt1[[#This Row],[Data]]="","",Kredyt1[[#This Row],[Cała rata]]-Kredyt1[[#This Row],[Kapitał]])</f>
        <v/>
      </c>
      <c r="J581" s="74" t="str" cm="1">
        <f t="array" ref="J581">IFERROR(-PPMT(Kredyt1[[#This Row],[Oprocentowanie]]/12,Kredyt1[[#This Row],[Miesiąc kredytu]],IlośćRat,KwotaKredytu),"")</f>
        <v/>
      </c>
      <c r="K581" s="75" t="str" cm="1">
        <f t="array" ref="K581">IF(Kredyt1[[#This Row],[Miesiąc kredytu]]="","",-PMT(Kredyt1[[#This Row],[Oprocentowanie]]/12,IlośćRat,KwotaKredytu))</f>
        <v/>
      </c>
      <c r="L581" s="75">
        <v>0</v>
      </c>
      <c r="M581" s="76" t="str">
        <f>IFERROR(M580-J581-Kredyt1[[#This Row],[Nadpłata]],"")</f>
        <v/>
      </c>
    </row>
    <row r="582" spans="4:13">
      <c r="D582" s="70" t="str" cm="1">
        <f t="array" ref="D582">IF(ROW(577:577)&lt;=IlośćRat,ROW(577:577),"")</f>
        <v/>
      </c>
      <c r="E582" s="70" t="str">
        <f>IFERROR(ROUNDUP(Kredyt1[[#This Row],[Miesiąc kredytu]]/12,0),"")</f>
        <v/>
      </c>
      <c r="F582" s="71" t="str">
        <f t="shared" ref="F582:F611" si="9">IFERROR(EDATE($B$6,D582-1),"")</f>
        <v/>
      </c>
      <c r="G582" s="72" t="str" cm="1">
        <f t="array" ref="G582">IF(Kredyt1[[#This Row],[Data]]="","",WIBOR3M)</f>
        <v/>
      </c>
      <c r="H582" s="72" t="str" cm="1">
        <f t="array" ref="H582">IF(Kredyt1[[#This Row],[Data]]="","",G582+MarżaBAnku)</f>
        <v/>
      </c>
      <c r="I582" s="73" t="str">
        <f>IF(Kredyt1[[#This Row],[Data]]="","",Kredyt1[[#This Row],[Cała rata]]-Kredyt1[[#This Row],[Kapitał]])</f>
        <v/>
      </c>
      <c r="J582" s="74" t="str" cm="1">
        <f t="array" ref="J582">IFERROR(-PPMT(Kredyt1[[#This Row],[Oprocentowanie]]/12,Kredyt1[[#This Row],[Miesiąc kredytu]],IlośćRat,KwotaKredytu),"")</f>
        <v/>
      </c>
      <c r="K582" s="75" t="str" cm="1">
        <f t="array" ref="K582">IF(Kredyt1[[#This Row],[Miesiąc kredytu]]="","",-PMT(Kredyt1[[#This Row],[Oprocentowanie]]/12,IlośćRat,KwotaKredytu))</f>
        <v/>
      </c>
      <c r="L582" s="75">
        <v>0</v>
      </c>
      <c r="M582" s="76" t="str">
        <f>IFERROR(M581-J582-Kredyt1[[#This Row],[Nadpłata]],"")</f>
        <v/>
      </c>
    </row>
    <row r="583" spans="4:13">
      <c r="D583" s="70" t="str" cm="1">
        <f t="array" ref="D583">IF(ROW(578:578)&lt;=IlośćRat,ROW(578:578),"")</f>
        <v/>
      </c>
      <c r="E583" s="70" t="str">
        <f>IFERROR(ROUNDUP(Kredyt1[[#This Row],[Miesiąc kredytu]]/12,0),"")</f>
        <v/>
      </c>
      <c r="F583" s="71" t="str">
        <f t="shared" si="9"/>
        <v/>
      </c>
      <c r="G583" s="72" t="str" cm="1">
        <f t="array" ref="G583">IF(Kredyt1[[#This Row],[Data]]="","",WIBOR3M)</f>
        <v/>
      </c>
      <c r="H583" s="72" t="str" cm="1">
        <f t="array" ref="H583">IF(Kredyt1[[#This Row],[Data]]="","",G583+MarżaBAnku)</f>
        <v/>
      </c>
      <c r="I583" s="73" t="str">
        <f>IF(Kredyt1[[#This Row],[Data]]="","",Kredyt1[[#This Row],[Cała rata]]-Kredyt1[[#This Row],[Kapitał]])</f>
        <v/>
      </c>
      <c r="J583" s="74" t="str" cm="1">
        <f t="array" ref="J583">IFERROR(-PPMT(Kredyt1[[#This Row],[Oprocentowanie]]/12,Kredyt1[[#This Row],[Miesiąc kredytu]],IlośćRat,KwotaKredytu),"")</f>
        <v/>
      </c>
      <c r="K583" s="75" t="str" cm="1">
        <f t="array" ref="K583">IF(Kredyt1[[#This Row],[Miesiąc kredytu]]="","",-PMT(Kredyt1[[#This Row],[Oprocentowanie]]/12,IlośćRat,KwotaKredytu))</f>
        <v/>
      </c>
      <c r="L583" s="75">
        <v>0</v>
      </c>
      <c r="M583" s="76" t="str">
        <f>IFERROR(M582-J583-Kredyt1[[#This Row],[Nadpłata]],"")</f>
        <v/>
      </c>
    </row>
    <row r="584" spans="4:13">
      <c r="D584" s="70" t="str" cm="1">
        <f t="array" ref="D584">IF(ROW(579:579)&lt;=IlośćRat,ROW(579:579),"")</f>
        <v/>
      </c>
      <c r="E584" s="70" t="str">
        <f>IFERROR(ROUNDUP(Kredyt1[[#This Row],[Miesiąc kredytu]]/12,0),"")</f>
        <v/>
      </c>
      <c r="F584" s="71" t="str">
        <f t="shared" si="9"/>
        <v/>
      </c>
      <c r="G584" s="72" t="str" cm="1">
        <f t="array" ref="G584">IF(Kredyt1[[#This Row],[Data]]="","",WIBOR3M)</f>
        <v/>
      </c>
      <c r="H584" s="72" t="str" cm="1">
        <f t="array" ref="H584">IF(Kredyt1[[#This Row],[Data]]="","",G584+MarżaBAnku)</f>
        <v/>
      </c>
      <c r="I584" s="73" t="str">
        <f>IF(Kredyt1[[#This Row],[Data]]="","",Kredyt1[[#This Row],[Cała rata]]-Kredyt1[[#This Row],[Kapitał]])</f>
        <v/>
      </c>
      <c r="J584" s="74" t="str" cm="1">
        <f t="array" ref="J584">IFERROR(-PPMT(Kredyt1[[#This Row],[Oprocentowanie]]/12,Kredyt1[[#This Row],[Miesiąc kredytu]],IlośćRat,KwotaKredytu),"")</f>
        <v/>
      </c>
      <c r="K584" s="75" t="str" cm="1">
        <f t="array" ref="K584">IF(Kredyt1[[#This Row],[Miesiąc kredytu]]="","",-PMT(Kredyt1[[#This Row],[Oprocentowanie]]/12,IlośćRat,KwotaKredytu))</f>
        <v/>
      </c>
      <c r="L584" s="75">
        <v>0</v>
      </c>
      <c r="M584" s="76" t="str">
        <f>IFERROR(M583-J584-Kredyt1[[#This Row],[Nadpłata]],"")</f>
        <v/>
      </c>
    </row>
    <row r="585" spans="4:13">
      <c r="D585" s="70" t="str" cm="1">
        <f t="array" ref="D585">IF(ROW(580:580)&lt;=IlośćRat,ROW(580:580),"")</f>
        <v/>
      </c>
      <c r="E585" s="70" t="str">
        <f>IFERROR(ROUNDUP(Kredyt1[[#This Row],[Miesiąc kredytu]]/12,0),"")</f>
        <v/>
      </c>
      <c r="F585" s="71" t="str">
        <f t="shared" si="9"/>
        <v/>
      </c>
      <c r="G585" s="72" t="str" cm="1">
        <f t="array" ref="G585">IF(Kredyt1[[#This Row],[Data]]="","",WIBOR3M)</f>
        <v/>
      </c>
      <c r="H585" s="72" t="str" cm="1">
        <f t="array" ref="H585">IF(Kredyt1[[#This Row],[Data]]="","",G585+MarżaBAnku)</f>
        <v/>
      </c>
      <c r="I585" s="73" t="str">
        <f>IF(Kredyt1[[#This Row],[Data]]="","",Kredyt1[[#This Row],[Cała rata]]-Kredyt1[[#This Row],[Kapitał]])</f>
        <v/>
      </c>
      <c r="J585" s="74" t="str" cm="1">
        <f t="array" ref="J585">IFERROR(-PPMT(Kredyt1[[#This Row],[Oprocentowanie]]/12,Kredyt1[[#This Row],[Miesiąc kredytu]],IlośćRat,KwotaKredytu),"")</f>
        <v/>
      </c>
      <c r="K585" s="75" t="str" cm="1">
        <f t="array" ref="K585">IF(Kredyt1[[#This Row],[Miesiąc kredytu]]="","",-PMT(Kredyt1[[#This Row],[Oprocentowanie]]/12,IlośćRat,KwotaKredytu))</f>
        <v/>
      </c>
      <c r="L585" s="75">
        <v>0</v>
      </c>
      <c r="M585" s="76" t="str">
        <f>IFERROR(M584-J585-Kredyt1[[#This Row],[Nadpłata]],"")</f>
        <v/>
      </c>
    </row>
    <row r="586" spans="4:13">
      <c r="D586" s="70" t="str" cm="1">
        <f t="array" ref="D586">IF(ROW(581:581)&lt;=IlośćRat,ROW(581:581),"")</f>
        <v/>
      </c>
      <c r="E586" s="70" t="str">
        <f>IFERROR(ROUNDUP(Kredyt1[[#This Row],[Miesiąc kredytu]]/12,0),"")</f>
        <v/>
      </c>
      <c r="F586" s="71" t="str">
        <f t="shared" si="9"/>
        <v/>
      </c>
      <c r="G586" s="72" t="str" cm="1">
        <f t="array" ref="G586">IF(Kredyt1[[#This Row],[Data]]="","",WIBOR3M)</f>
        <v/>
      </c>
      <c r="H586" s="72" t="str" cm="1">
        <f t="array" ref="H586">IF(Kredyt1[[#This Row],[Data]]="","",G586+MarżaBAnku)</f>
        <v/>
      </c>
      <c r="I586" s="73" t="str">
        <f>IF(Kredyt1[[#This Row],[Data]]="","",Kredyt1[[#This Row],[Cała rata]]-Kredyt1[[#This Row],[Kapitał]])</f>
        <v/>
      </c>
      <c r="J586" s="74" t="str" cm="1">
        <f t="array" ref="J586">IFERROR(-PPMT(Kredyt1[[#This Row],[Oprocentowanie]]/12,Kredyt1[[#This Row],[Miesiąc kredytu]],IlośćRat,KwotaKredytu),"")</f>
        <v/>
      </c>
      <c r="K586" s="75" t="str" cm="1">
        <f t="array" ref="K586">IF(Kredyt1[[#This Row],[Miesiąc kredytu]]="","",-PMT(Kredyt1[[#This Row],[Oprocentowanie]]/12,IlośćRat,KwotaKredytu))</f>
        <v/>
      </c>
      <c r="L586" s="75">
        <v>0</v>
      </c>
      <c r="M586" s="76" t="str">
        <f>IFERROR(M585-J586-Kredyt1[[#This Row],[Nadpłata]],"")</f>
        <v/>
      </c>
    </row>
    <row r="587" spans="4:13">
      <c r="D587" s="70" t="str" cm="1">
        <f t="array" ref="D587">IF(ROW(582:582)&lt;=IlośćRat,ROW(582:582),"")</f>
        <v/>
      </c>
      <c r="E587" s="70" t="str">
        <f>IFERROR(ROUNDUP(Kredyt1[[#This Row],[Miesiąc kredytu]]/12,0),"")</f>
        <v/>
      </c>
      <c r="F587" s="71" t="str">
        <f t="shared" si="9"/>
        <v/>
      </c>
      <c r="G587" s="72" t="str" cm="1">
        <f t="array" ref="G587">IF(Kredyt1[[#This Row],[Data]]="","",WIBOR3M)</f>
        <v/>
      </c>
      <c r="H587" s="72" t="str" cm="1">
        <f t="array" ref="H587">IF(Kredyt1[[#This Row],[Data]]="","",G587+MarżaBAnku)</f>
        <v/>
      </c>
      <c r="I587" s="73" t="str">
        <f>IF(Kredyt1[[#This Row],[Data]]="","",Kredyt1[[#This Row],[Cała rata]]-Kredyt1[[#This Row],[Kapitał]])</f>
        <v/>
      </c>
      <c r="J587" s="74" t="str" cm="1">
        <f t="array" ref="J587">IFERROR(-PPMT(Kredyt1[[#This Row],[Oprocentowanie]]/12,Kredyt1[[#This Row],[Miesiąc kredytu]],IlośćRat,KwotaKredytu),"")</f>
        <v/>
      </c>
      <c r="K587" s="75" t="str" cm="1">
        <f t="array" ref="K587">IF(Kredyt1[[#This Row],[Miesiąc kredytu]]="","",-PMT(Kredyt1[[#This Row],[Oprocentowanie]]/12,IlośćRat,KwotaKredytu))</f>
        <v/>
      </c>
      <c r="L587" s="75">
        <v>0</v>
      </c>
      <c r="M587" s="76" t="str">
        <f>IFERROR(M586-J587-Kredyt1[[#This Row],[Nadpłata]],"")</f>
        <v/>
      </c>
    </row>
    <row r="588" spans="4:13">
      <c r="D588" s="70" t="str" cm="1">
        <f t="array" ref="D588">IF(ROW(583:583)&lt;=IlośćRat,ROW(583:583),"")</f>
        <v/>
      </c>
      <c r="E588" s="70" t="str">
        <f>IFERROR(ROUNDUP(Kredyt1[[#This Row],[Miesiąc kredytu]]/12,0),"")</f>
        <v/>
      </c>
      <c r="F588" s="71" t="str">
        <f t="shared" si="9"/>
        <v/>
      </c>
      <c r="G588" s="72" t="str" cm="1">
        <f t="array" ref="G588">IF(Kredyt1[[#This Row],[Data]]="","",WIBOR3M)</f>
        <v/>
      </c>
      <c r="H588" s="72" t="str" cm="1">
        <f t="array" ref="H588">IF(Kredyt1[[#This Row],[Data]]="","",G588+MarżaBAnku)</f>
        <v/>
      </c>
      <c r="I588" s="73" t="str">
        <f>IF(Kredyt1[[#This Row],[Data]]="","",Kredyt1[[#This Row],[Cała rata]]-Kredyt1[[#This Row],[Kapitał]])</f>
        <v/>
      </c>
      <c r="J588" s="74" t="str" cm="1">
        <f t="array" ref="J588">IFERROR(-PPMT(Kredyt1[[#This Row],[Oprocentowanie]]/12,Kredyt1[[#This Row],[Miesiąc kredytu]],IlośćRat,KwotaKredytu),"")</f>
        <v/>
      </c>
      <c r="K588" s="75" t="str" cm="1">
        <f t="array" ref="K588">IF(Kredyt1[[#This Row],[Miesiąc kredytu]]="","",-PMT(Kredyt1[[#This Row],[Oprocentowanie]]/12,IlośćRat,KwotaKredytu))</f>
        <v/>
      </c>
      <c r="L588" s="75">
        <v>0</v>
      </c>
      <c r="M588" s="76" t="str">
        <f>IFERROR(M587-J588-Kredyt1[[#This Row],[Nadpłata]],"")</f>
        <v/>
      </c>
    </row>
    <row r="589" spans="4:13">
      <c r="D589" s="70" t="str" cm="1">
        <f t="array" ref="D589">IF(ROW(584:584)&lt;=IlośćRat,ROW(584:584),"")</f>
        <v/>
      </c>
      <c r="E589" s="70" t="str">
        <f>IFERROR(ROUNDUP(Kredyt1[[#This Row],[Miesiąc kredytu]]/12,0),"")</f>
        <v/>
      </c>
      <c r="F589" s="71" t="str">
        <f t="shared" si="9"/>
        <v/>
      </c>
      <c r="G589" s="72" t="str" cm="1">
        <f t="array" ref="G589">IF(Kredyt1[[#This Row],[Data]]="","",WIBOR3M)</f>
        <v/>
      </c>
      <c r="H589" s="72" t="str" cm="1">
        <f t="array" ref="H589">IF(Kredyt1[[#This Row],[Data]]="","",G589+MarżaBAnku)</f>
        <v/>
      </c>
      <c r="I589" s="73" t="str">
        <f>IF(Kredyt1[[#This Row],[Data]]="","",Kredyt1[[#This Row],[Cała rata]]-Kredyt1[[#This Row],[Kapitał]])</f>
        <v/>
      </c>
      <c r="J589" s="74" t="str" cm="1">
        <f t="array" ref="J589">IFERROR(-PPMT(Kredyt1[[#This Row],[Oprocentowanie]]/12,Kredyt1[[#This Row],[Miesiąc kredytu]],IlośćRat,KwotaKredytu),"")</f>
        <v/>
      </c>
      <c r="K589" s="75" t="str" cm="1">
        <f t="array" ref="K589">IF(Kredyt1[[#This Row],[Miesiąc kredytu]]="","",-PMT(Kredyt1[[#This Row],[Oprocentowanie]]/12,IlośćRat,KwotaKredytu))</f>
        <v/>
      </c>
      <c r="L589" s="75">
        <v>0</v>
      </c>
      <c r="M589" s="76" t="str">
        <f>IFERROR(M588-J589-Kredyt1[[#This Row],[Nadpłata]],"")</f>
        <v/>
      </c>
    </row>
    <row r="590" spans="4:13">
      <c r="D590" s="70" t="str" cm="1">
        <f t="array" ref="D590">IF(ROW(585:585)&lt;=IlośćRat,ROW(585:585),"")</f>
        <v/>
      </c>
      <c r="E590" s="70" t="str">
        <f>IFERROR(ROUNDUP(Kredyt1[[#This Row],[Miesiąc kredytu]]/12,0),"")</f>
        <v/>
      </c>
      <c r="F590" s="71" t="str">
        <f t="shared" si="9"/>
        <v/>
      </c>
      <c r="G590" s="72" t="str" cm="1">
        <f t="array" ref="G590">IF(Kredyt1[[#This Row],[Data]]="","",WIBOR3M)</f>
        <v/>
      </c>
      <c r="H590" s="72" t="str" cm="1">
        <f t="array" ref="H590">IF(Kredyt1[[#This Row],[Data]]="","",G590+MarżaBAnku)</f>
        <v/>
      </c>
      <c r="I590" s="73" t="str">
        <f>IF(Kredyt1[[#This Row],[Data]]="","",Kredyt1[[#This Row],[Cała rata]]-Kredyt1[[#This Row],[Kapitał]])</f>
        <v/>
      </c>
      <c r="J590" s="74" t="str" cm="1">
        <f t="array" ref="J590">IFERROR(-PPMT(Kredyt1[[#This Row],[Oprocentowanie]]/12,Kredyt1[[#This Row],[Miesiąc kredytu]],IlośćRat,KwotaKredytu),"")</f>
        <v/>
      </c>
      <c r="K590" s="75" t="str" cm="1">
        <f t="array" ref="K590">IF(Kredyt1[[#This Row],[Miesiąc kredytu]]="","",-PMT(Kredyt1[[#This Row],[Oprocentowanie]]/12,IlośćRat,KwotaKredytu))</f>
        <v/>
      </c>
      <c r="L590" s="75">
        <v>0</v>
      </c>
      <c r="M590" s="76" t="str">
        <f>IFERROR(M589-J590-Kredyt1[[#This Row],[Nadpłata]],"")</f>
        <v/>
      </c>
    </row>
    <row r="591" spans="4:13">
      <c r="D591" s="70" t="str" cm="1">
        <f t="array" ref="D591">IF(ROW(586:586)&lt;=IlośćRat,ROW(586:586),"")</f>
        <v/>
      </c>
      <c r="E591" s="70" t="str">
        <f>IFERROR(ROUNDUP(Kredyt1[[#This Row],[Miesiąc kredytu]]/12,0),"")</f>
        <v/>
      </c>
      <c r="F591" s="71" t="str">
        <f t="shared" si="9"/>
        <v/>
      </c>
      <c r="G591" s="72" t="str" cm="1">
        <f t="array" ref="G591">IF(Kredyt1[[#This Row],[Data]]="","",WIBOR3M)</f>
        <v/>
      </c>
      <c r="H591" s="72" t="str" cm="1">
        <f t="array" ref="H591">IF(Kredyt1[[#This Row],[Data]]="","",G591+MarżaBAnku)</f>
        <v/>
      </c>
      <c r="I591" s="73" t="str">
        <f>IF(Kredyt1[[#This Row],[Data]]="","",Kredyt1[[#This Row],[Cała rata]]-Kredyt1[[#This Row],[Kapitał]])</f>
        <v/>
      </c>
      <c r="J591" s="74" t="str" cm="1">
        <f t="array" ref="J591">IFERROR(-PPMT(Kredyt1[[#This Row],[Oprocentowanie]]/12,Kredyt1[[#This Row],[Miesiąc kredytu]],IlośćRat,KwotaKredytu),"")</f>
        <v/>
      </c>
      <c r="K591" s="75" t="str" cm="1">
        <f t="array" ref="K591">IF(Kredyt1[[#This Row],[Miesiąc kredytu]]="","",-PMT(Kredyt1[[#This Row],[Oprocentowanie]]/12,IlośćRat,KwotaKredytu))</f>
        <v/>
      </c>
      <c r="L591" s="75">
        <v>0</v>
      </c>
      <c r="M591" s="76" t="str">
        <f>IFERROR(M590-J591-Kredyt1[[#This Row],[Nadpłata]],"")</f>
        <v/>
      </c>
    </row>
    <row r="592" spans="4:13">
      <c r="D592" s="70" t="str" cm="1">
        <f t="array" ref="D592">IF(ROW(587:587)&lt;=IlośćRat,ROW(587:587),"")</f>
        <v/>
      </c>
      <c r="E592" s="70" t="str">
        <f>IFERROR(ROUNDUP(Kredyt1[[#This Row],[Miesiąc kredytu]]/12,0),"")</f>
        <v/>
      </c>
      <c r="F592" s="71" t="str">
        <f t="shared" si="9"/>
        <v/>
      </c>
      <c r="G592" s="72" t="str" cm="1">
        <f t="array" ref="G592">IF(Kredyt1[[#This Row],[Data]]="","",WIBOR3M)</f>
        <v/>
      </c>
      <c r="H592" s="72" t="str" cm="1">
        <f t="array" ref="H592">IF(Kredyt1[[#This Row],[Data]]="","",G592+MarżaBAnku)</f>
        <v/>
      </c>
      <c r="I592" s="73" t="str">
        <f>IF(Kredyt1[[#This Row],[Data]]="","",Kredyt1[[#This Row],[Cała rata]]-Kredyt1[[#This Row],[Kapitał]])</f>
        <v/>
      </c>
      <c r="J592" s="74" t="str" cm="1">
        <f t="array" ref="J592">IFERROR(-PPMT(Kredyt1[[#This Row],[Oprocentowanie]]/12,Kredyt1[[#This Row],[Miesiąc kredytu]],IlośćRat,KwotaKredytu),"")</f>
        <v/>
      </c>
      <c r="K592" s="75" t="str" cm="1">
        <f t="array" ref="K592">IF(Kredyt1[[#This Row],[Miesiąc kredytu]]="","",-PMT(Kredyt1[[#This Row],[Oprocentowanie]]/12,IlośćRat,KwotaKredytu))</f>
        <v/>
      </c>
      <c r="L592" s="75">
        <v>0</v>
      </c>
      <c r="M592" s="76" t="str">
        <f>IFERROR(M591-J592-Kredyt1[[#This Row],[Nadpłata]],"")</f>
        <v/>
      </c>
    </row>
    <row r="593" spans="4:13">
      <c r="D593" s="70" t="str" cm="1">
        <f t="array" ref="D593">IF(ROW(588:588)&lt;=IlośćRat,ROW(588:588),"")</f>
        <v/>
      </c>
      <c r="E593" s="70" t="str">
        <f>IFERROR(ROUNDUP(Kredyt1[[#This Row],[Miesiąc kredytu]]/12,0),"")</f>
        <v/>
      </c>
      <c r="F593" s="71" t="str">
        <f t="shared" si="9"/>
        <v/>
      </c>
      <c r="G593" s="72" t="str" cm="1">
        <f t="array" ref="G593">IF(Kredyt1[[#This Row],[Data]]="","",WIBOR3M)</f>
        <v/>
      </c>
      <c r="H593" s="72" t="str" cm="1">
        <f t="array" ref="H593">IF(Kredyt1[[#This Row],[Data]]="","",G593+MarżaBAnku)</f>
        <v/>
      </c>
      <c r="I593" s="73" t="str">
        <f>IF(Kredyt1[[#This Row],[Data]]="","",Kredyt1[[#This Row],[Cała rata]]-Kredyt1[[#This Row],[Kapitał]])</f>
        <v/>
      </c>
      <c r="J593" s="74" t="str" cm="1">
        <f t="array" ref="J593">IFERROR(-PPMT(Kredyt1[[#This Row],[Oprocentowanie]]/12,Kredyt1[[#This Row],[Miesiąc kredytu]],IlośćRat,KwotaKredytu),"")</f>
        <v/>
      </c>
      <c r="K593" s="75" t="str" cm="1">
        <f t="array" ref="K593">IF(Kredyt1[[#This Row],[Miesiąc kredytu]]="","",-PMT(Kredyt1[[#This Row],[Oprocentowanie]]/12,IlośćRat,KwotaKredytu))</f>
        <v/>
      </c>
      <c r="L593" s="75">
        <v>0</v>
      </c>
      <c r="M593" s="76" t="str">
        <f>IFERROR(M592-J593-Kredyt1[[#This Row],[Nadpłata]],"")</f>
        <v/>
      </c>
    </row>
    <row r="594" spans="4:13">
      <c r="D594" s="70" t="str" cm="1">
        <f t="array" ref="D594">IF(ROW(589:589)&lt;=IlośćRat,ROW(589:589),"")</f>
        <v/>
      </c>
      <c r="E594" s="70" t="str">
        <f>IFERROR(ROUNDUP(Kredyt1[[#This Row],[Miesiąc kredytu]]/12,0),"")</f>
        <v/>
      </c>
      <c r="F594" s="71" t="str">
        <f t="shared" si="9"/>
        <v/>
      </c>
      <c r="G594" s="72" t="str" cm="1">
        <f t="array" ref="G594">IF(Kredyt1[[#This Row],[Data]]="","",WIBOR3M)</f>
        <v/>
      </c>
      <c r="H594" s="72" t="str" cm="1">
        <f t="array" ref="H594">IF(Kredyt1[[#This Row],[Data]]="","",G594+MarżaBAnku)</f>
        <v/>
      </c>
      <c r="I594" s="73" t="str">
        <f>IF(Kredyt1[[#This Row],[Data]]="","",Kredyt1[[#This Row],[Cała rata]]-Kredyt1[[#This Row],[Kapitał]])</f>
        <v/>
      </c>
      <c r="J594" s="74" t="str" cm="1">
        <f t="array" ref="J594">IFERROR(-PPMT(Kredyt1[[#This Row],[Oprocentowanie]]/12,Kredyt1[[#This Row],[Miesiąc kredytu]],IlośćRat,KwotaKredytu),"")</f>
        <v/>
      </c>
      <c r="K594" s="75" t="str" cm="1">
        <f t="array" ref="K594">IF(Kredyt1[[#This Row],[Miesiąc kredytu]]="","",-PMT(Kredyt1[[#This Row],[Oprocentowanie]]/12,IlośćRat,KwotaKredytu))</f>
        <v/>
      </c>
      <c r="L594" s="75">
        <v>0</v>
      </c>
      <c r="M594" s="76" t="str">
        <f>IFERROR(M593-J594-Kredyt1[[#This Row],[Nadpłata]],"")</f>
        <v/>
      </c>
    </row>
    <row r="595" spans="4:13">
      <c r="D595" s="70" t="str" cm="1">
        <f t="array" ref="D595">IF(ROW(590:590)&lt;=IlośćRat,ROW(590:590),"")</f>
        <v/>
      </c>
      <c r="E595" s="70" t="str">
        <f>IFERROR(ROUNDUP(Kredyt1[[#This Row],[Miesiąc kredytu]]/12,0),"")</f>
        <v/>
      </c>
      <c r="F595" s="71" t="str">
        <f t="shared" si="9"/>
        <v/>
      </c>
      <c r="G595" s="72" t="str" cm="1">
        <f t="array" ref="G595">IF(Kredyt1[[#This Row],[Data]]="","",WIBOR3M)</f>
        <v/>
      </c>
      <c r="H595" s="72" t="str" cm="1">
        <f t="array" ref="H595">IF(Kredyt1[[#This Row],[Data]]="","",G595+MarżaBAnku)</f>
        <v/>
      </c>
      <c r="I595" s="73" t="str">
        <f>IF(Kredyt1[[#This Row],[Data]]="","",Kredyt1[[#This Row],[Cała rata]]-Kredyt1[[#This Row],[Kapitał]])</f>
        <v/>
      </c>
      <c r="J595" s="74" t="str" cm="1">
        <f t="array" ref="J595">IFERROR(-PPMT(Kredyt1[[#This Row],[Oprocentowanie]]/12,Kredyt1[[#This Row],[Miesiąc kredytu]],IlośćRat,KwotaKredytu),"")</f>
        <v/>
      </c>
      <c r="K595" s="75" t="str" cm="1">
        <f t="array" ref="K595">IF(Kredyt1[[#This Row],[Miesiąc kredytu]]="","",-PMT(Kredyt1[[#This Row],[Oprocentowanie]]/12,IlośćRat,KwotaKredytu))</f>
        <v/>
      </c>
      <c r="L595" s="75">
        <v>0</v>
      </c>
      <c r="M595" s="76" t="str">
        <f>IFERROR(M594-J595-Kredyt1[[#This Row],[Nadpłata]],"")</f>
        <v/>
      </c>
    </row>
    <row r="596" spans="4:13">
      <c r="D596" s="70" t="str" cm="1">
        <f t="array" ref="D596">IF(ROW(591:591)&lt;=IlośćRat,ROW(591:591),"")</f>
        <v/>
      </c>
      <c r="E596" s="70" t="str">
        <f>IFERROR(ROUNDUP(Kredyt1[[#This Row],[Miesiąc kredytu]]/12,0),"")</f>
        <v/>
      </c>
      <c r="F596" s="71" t="str">
        <f t="shared" si="9"/>
        <v/>
      </c>
      <c r="G596" s="72" t="str" cm="1">
        <f t="array" ref="G596">IF(Kredyt1[[#This Row],[Data]]="","",WIBOR3M)</f>
        <v/>
      </c>
      <c r="H596" s="72" t="str" cm="1">
        <f t="array" ref="H596">IF(Kredyt1[[#This Row],[Data]]="","",G596+MarżaBAnku)</f>
        <v/>
      </c>
      <c r="I596" s="73" t="str">
        <f>IF(Kredyt1[[#This Row],[Data]]="","",Kredyt1[[#This Row],[Cała rata]]-Kredyt1[[#This Row],[Kapitał]])</f>
        <v/>
      </c>
      <c r="J596" s="74" t="str" cm="1">
        <f t="array" ref="J596">IFERROR(-PPMT(Kredyt1[[#This Row],[Oprocentowanie]]/12,Kredyt1[[#This Row],[Miesiąc kredytu]],IlośćRat,KwotaKredytu),"")</f>
        <v/>
      </c>
      <c r="K596" s="75" t="str" cm="1">
        <f t="array" ref="K596">IF(Kredyt1[[#This Row],[Miesiąc kredytu]]="","",-PMT(Kredyt1[[#This Row],[Oprocentowanie]]/12,IlośćRat,KwotaKredytu))</f>
        <v/>
      </c>
      <c r="L596" s="75">
        <v>0</v>
      </c>
      <c r="M596" s="76" t="str">
        <f>IFERROR(M595-J596-Kredyt1[[#This Row],[Nadpłata]],"")</f>
        <v/>
      </c>
    </row>
    <row r="597" spans="4:13">
      <c r="D597" s="70" t="str" cm="1">
        <f t="array" ref="D597">IF(ROW(592:592)&lt;=IlośćRat,ROW(592:592),"")</f>
        <v/>
      </c>
      <c r="E597" s="70" t="str">
        <f>IFERROR(ROUNDUP(Kredyt1[[#This Row],[Miesiąc kredytu]]/12,0),"")</f>
        <v/>
      </c>
      <c r="F597" s="71" t="str">
        <f t="shared" si="9"/>
        <v/>
      </c>
      <c r="G597" s="72" t="str" cm="1">
        <f t="array" ref="G597">IF(Kredyt1[[#This Row],[Data]]="","",WIBOR3M)</f>
        <v/>
      </c>
      <c r="H597" s="72" t="str" cm="1">
        <f t="array" ref="H597">IF(Kredyt1[[#This Row],[Data]]="","",G597+MarżaBAnku)</f>
        <v/>
      </c>
      <c r="I597" s="73" t="str">
        <f>IF(Kredyt1[[#This Row],[Data]]="","",Kredyt1[[#This Row],[Cała rata]]-Kredyt1[[#This Row],[Kapitał]])</f>
        <v/>
      </c>
      <c r="J597" s="74" t="str" cm="1">
        <f t="array" ref="J597">IFERROR(-PPMT(Kredyt1[[#This Row],[Oprocentowanie]]/12,Kredyt1[[#This Row],[Miesiąc kredytu]],IlośćRat,KwotaKredytu),"")</f>
        <v/>
      </c>
      <c r="K597" s="75" t="str" cm="1">
        <f t="array" ref="K597">IF(Kredyt1[[#This Row],[Miesiąc kredytu]]="","",-PMT(Kredyt1[[#This Row],[Oprocentowanie]]/12,IlośćRat,KwotaKredytu))</f>
        <v/>
      </c>
      <c r="L597" s="75">
        <v>0</v>
      </c>
      <c r="M597" s="76" t="str">
        <f>IFERROR(M596-J597-Kredyt1[[#This Row],[Nadpłata]],"")</f>
        <v/>
      </c>
    </row>
    <row r="598" spans="4:13">
      <c r="D598" s="70" t="str" cm="1">
        <f t="array" ref="D598">IF(ROW(593:593)&lt;=IlośćRat,ROW(593:593),"")</f>
        <v/>
      </c>
      <c r="E598" s="70" t="str">
        <f>IFERROR(ROUNDUP(Kredyt1[[#This Row],[Miesiąc kredytu]]/12,0),"")</f>
        <v/>
      </c>
      <c r="F598" s="71" t="str">
        <f t="shared" si="9"/>
        <v/>
      </c>
      <c r="G598" s="72" t="str" cm="1">
        <f t="array" ref="G598">IF(Kredyt1[[#This Row],[Data]]="","",WIBOR3M)</f>
        <v/>
      </c>
      <c r="H598" s="72" t="str" cm="1">
        <f t="array" ref="H598">IF(Kredyt1[[#This Row],[Data]]="","",G598+MarżaBAnku)</f>
        <v/>
      </c>
      <c r="I598" s="73" t="str">
        <f>IF(Kredyt1[[#This Row],[Data]]="","",Kredyt1[[#This Row],[Cała rata]]-Kredyt1[[#This Row],[Kapitał]])</f>
        <v/>
      </c>
      <c r="J598" s="74" t="str" cm="1">
        <f t="array" ref="J598">IFERROR(-PPMT(Kredyt1[[#This Row],[Oprocentowanie]]/12,Kredyt1[[#This Row],[Miesiąc kredytu]],IlośćRat,KwotaKredytu),"")</f>
        <v/>
      </c>
      <c r="K598" s="75" t="str" cm="1">
        <f t="array" ref="K598">IF(Kredyt1[[#This Row],[Miesiąc kredytu]]="","",-PMT(Kredyt1[[#This Row],[Oprocentowanie]]/12,IlośćRat,KwotaKredytu))</f>
        <v/>
      </c>
      <c r="L598" s="75">
        <v>0</v>
      </c>
      <c r="M598" s="76" t="str">
        <f>IFERROR(M597-J598-Kredyt1[[#This Row],[Nadpłata]],"")</f>
        <v/>
      </c>
    </row>
    <row r="599" spans="4:13">
      <c r="D599" s="70" t="str" cm="1">
        <f t="array" ref="D599">IF(ROW(594:594)&lt;=IlośćRat,ROW(594:594),"")</f>
        <v/>
      </c>
      <c r="E599" s="70" t="str">
        <f>IFERROR(ROUNDUP(Kredyt1[[#This Row],[Miesiąc kredytu]]/12,0),"")</f>
        <v/>
      </c>
      <c r="F599" s="71" t="str">
        <f t="shared" si="9"/>
        <v/>
      </c>
      <c r="G599" s="72" t="str" cm="1">
        <f t="array" ref="G599">IF(Kredyt1[[#This Row],[Data]]="","",WIBOR3M)</f>
        <v/>
      </c>
      <c r="H599" s="72" t="str" cm="1">
        <f t="array" ref="H599">IF(Kredyt1[[#This Row],[Data]]="","",G599+MarżaBAnku)</f>
        <v/>
      </c>
      <c r="I599" s="73" t="str">
        <f>IF(Kredyt1[[#This Row],[Data]]="","",Kredyt1[[#This Row],[Cała rata]]-Kredyt1[[#This Row],[Kapitał]])</f>
        <v/>
      </c>
      <c r="J599" s="74" t="str" cm="1">
        <f t="array" ref="J599">IFERROR(-PPMT(Kredyt1[[#This Row],[Oprocentowanie]]/12,Kredyt1[[#This Row],[Miesiąc kredytu]],IlośćRat,KwotaKredytu),"")</f>
        <v/>
      </c>
      <c r="K599" s="75" t="str" cm="1">
        <f t="array" ref="K599">IF(Kredyt1[[#This Row],[Miesiąc kredytu]]="","",-PMT(Kredyt1[[#This Row],[Oprocentowanie]]/12,IlośćRat,KwotaKredytu))</f>
        <v/>
      </c>
      <c r="L599" s="75">
        <v>0</v>
      </c>
      <c r="M599" s="76" t="str">
        <f>IFERROR(M598-J599-Kredyt1[[#This Row],[Nadpłata]],"")</f>
        <v/>
      </c>
    </row>
    <row r="600" spans="4:13">
      <c r="D600" s="70" t="str" cm="1">
        <f t="array" ref="D600">IF(ROW(595:595)&lt;=IlośćRat,ROW(595:595),"")</f>
        <v/>
      </c>
      <c r="E600" s="70" t="str">
        <f>IFERROR(ROUNDUP(Kredyt1[[#This Row],[Miesiąc kredytu]]/12,0),"")</f>
        <v/>
      </c>
      <c r="F600" s="71" t="str">
        <f t="shared" si="9"/>
        <v/>
      </c>
      <c r="G600" s="72" t="str" cm="1">
        <f t="array" ref="G600">IF(Kredyt1[[#This Row],[Data]]="","",WIBOR3M)</f>
        <v/>
      </c>
      <c r="H600" s="72" t="str" cm="1">
        <f t="array" ref="H600">IF(Kredyt1[[#This Row],[Data]]="","",G600+MarżaBAnku)</f>
        <v/>
      </c>
      <c r="I600" s="73" t="str">
        <f>IF(Kredyt1[[#This Row],[Data]]="","",Kredyt1[[#This Row],[Cała rata]]-Kredyt1[[#This Row],[Kapitał]])</f>
        <v/>
      </c>
      <c r="J600" s="74" t="str" cm="1">
        <f t="array" ref="J600">IFERROR(-PPMT(Kredyt1[[#This Row],[Oprocentowanie]]/12,Kredyt1[[#This Row],[Miesiąc kredytu]],IlośćRat,KwotaKredytu),"")</f>
        <v/>
      </c>
      <c r="K600" s="75" t="str" cm="1">
        <f t="array" ref="K600">IF(Kredyt1[[#This Row],[Miesiąc kredytu]]="","",-PMT(Kredyt1[[#This Row],[Oprocentowanie]]/12,IlośćRat,KwotaKredytu))</f>
        <v/>
      </c>
      <c r="L600" s="75">
        <v>0</v>
      </c>
      <c r="M600" s="76" t="str">
        <f>IFERROR(M599-J600-Kredyt1[[#This Row],[Nadpłata]],"")</f>
        <v/>
      </c>
    </row>
    <row r="601" spans="4:13">
      <c r="D601" s="70" t="str" cm="1">
        <f t="array" ref="D601">IF(ROW(596:596)&lt;=IlośćRat,ROW(596:596),"")</f>
        <v/>
      </c>
      <c r="E601" s="70" t="str">
        <f>IFERROR(ROUNDUP(Kredyt1[[#This Row],[Miesiąc kredytu]]/12,0),"")</f>
        <v/>
      </c>
      <c r="F601" s="71" t="str">
        <f t="shared" si="9"/>
        <v/>
      </c>
      <c r="G601" s="72" t="str" cm="1">
        <f t="array" ref="G601">IF(Kredyt1[[#This Row],[Data]]="","",WIBOR3M)</f>
        <v/>
      </c>
      <c r="H601" s="72" t="str" cm="1">
        <f t="array" ref="H601">IF(Kredyt1[[#This Row],[Data]]="","",G601+MarżaBAnku)</f>
        <v/>
      </c>
      <c r="I601" s="73" t="str">
        <f>IF(Kredyt1[[#This Row],[Data]]="","",Kredyt1[[#This Row],[Cała rata]]-Kredyt1[[#This Row],[Kapitał]])</f>
        <v/>
      </c>
      <c r="J601" s="74" t="str" cm="1">
        <f t="array" ref="J601">IFERROR(-PPMT(Kredyt1[[#This Row],[Oprocentowanie]]/12,Kredyt1[[#This Row],[Miesiąc kredytu]],IlośćRat,KwotaKredytu),"")</f>
        <v/>
      </c>
      <c r="K601" s="75" t="str" cm="1">
        <f t="array" ref="K601">IF(Kredyt1[[#This Row],[Miesiąc kredytu]]="","",-PMT(Kredyt1[[#This Row],[Oprocentowanie]]/12,IlośćRat,KwotaKredytu))</f>
        <v/>
      </c>
      <c r="L601" s="75">
        <v>0</v>
      </c>
      <c r="M601" s="76" t="str">
        <f>IFERROR(M600-J601-Kredyt1[[#This Row],[Nadpłata]],"")</f>
        <v/>
      </c>
    </row>
    <row r="602" spans="4:13">
      <c r="D602" s="70" t="str" cm="1">
        <f t="array" ref="D602">IF(ROW(597:597)&lt;=IlośćRat,ROW(597:597),"")</f>
        <v/>
      </c>
      <c r="E602" s="70" t="str">
        <f>IFERROR(ROUNDUP(Kredyt1[[#This Row],[Miesiąc kredytu]]/12,0),"")</f>
        <v/>
      </c>
      <c r="F602" s="71" t="str">
        <f t="shared" si="9"/>
        <v/>
      </c>
      <c r="G602" s="72" t="str" cm="1">
        <f t="array" ref="G602">IF(Kredyt1[[#This Row],[Data]]="","",WIBOR3M)</f>
        <v/>
      </c>
      <c r="H602" s="72" t="str" cm="1">
        <f t="array" ref="H602">IF(Kredyt1[[#This Row],[Data]]="","",G602+MarżaBAnku)</f>
        <v/>
      </c>
      <c r="I602" s="73" t="str">
        <f>IF(Kredyt1[[#This Row],[Data]]="","",Kredyt1[[#This Row],[Cała rata]]-Kredyt1[[#This Row],[Kapitał]])</f>
        <v/>
      </c>
      <c r="J602" s="74" t="str" cm="1">
        <f t="array" ref="J602">IFERROR(-PPMT(Kredyt1[[#This Row],[Oprocentowanie]]/12,Kredyt1[[#This Row],[Miesiąc kredytu]],IlośćRat,KwotaKredytu),"")</f>
        <v/>
      </c>
      <c r="K602" s="75" t="str" cm="1">
        <f t="array" ref="K602">IF(Kredyt1[[#This Row],[Miesiąc kredytu]]="","",-PMT(Kredyt1[[#This Row],[Oprocentowanie]]/12,IlośćRat,KwotaKredytu))</f>
        <v/>
      </c>
      <c r="L602" s="75">
        <v>0</v>
      </c>
      <c r="M602" s="76" t="str">
        <f>IFERROR(M601-J602-Kredyt1[[#This Row],[Nadpłata]],"")</f>
        <v/>
      </c>
    </row>
    <row r="603" spans="4:13">
      <c r="D603" s="70" t="str" cm="1">
        <f t="array" ref="D603">IF(ROW(598:598)&lt;=IlośćRat,ROW(598:598),"")</f>
        <v/>
      </c>
      <c r="E603" s="70" t="str">
        <f>IFERROR(ROUNDUP(Kredyt1[[#This Row],[Miesiąc kredytu]]/12,0),"")</f>
        <v/>
      </c>
      <c r="F603" s="71" t="str">
        <f t="shared" si="9"/>
        <v/>
      </c>
      <c r="G603" s="72" t="str" cm="1">
        <f t="array" ref="G603">IF(Kredyt1[[#This Row],[Data]]="","",WIBOR3M)</f>
        <v/>
      </c>
      <c r="H603" s="72" t="str" cm="1">
        <f t="array" ref="H603">IF(Kredyt1[[#This Row],[Data]]="","",G603+MarżaBAnku)</f>
        <v/>
      </c>
      <c r="I603" s="73" t="str">
        <f>IF(Kredyt1[[#This Row],[Data]]="","",Kredyt1[[#This Row],[Cała rata]]-Kredyt1[[#This Row],[Kapitał]])</f>
        <v/>
      </c>
      <c r="J603" s="74" t="str" cm="1">
        <f t="array" ref="J603">IFERROR(-PPMT(Kredyt1[[#This Row],[Oprocentowanie]]/12,Kredyt1[[#This Row],[Miesiąc kredytu]],IlośćRat,KwotaKredytu),"")</f>
        <v/>
      </c>
      <c r="K603" s="75" t="str" cm="1">
        <f t="array" ref="K603">IF(Kredyt1[[#This Row],[Miesiąc kredytu]]="","",-PMT(Kredyt1[[#This Row],[Oprocentowanie]]/12,IlośćRat,KwotaKredytu))</f>
        <v/>
      </c>
      <c r="L603" s="75">
        <v>0</v>
      </c>
      <c r="M603" s="76" t="str">
        <f>IFERROR(M602-J603-Kredyt1[[#This Row],[Nadpłata]],"")</f>
        <v/>
      </c>
    </row>
    <row r="604" spans="4:13">
      <c r="D604" s="70" t="str" cm="1">
        <f t="array" ref="D604">IF(ROW(599:599)&lt;=IlośćRat,ROW(599:599),"")</f>
        <v/>
      </c>
      <c r="E604" s="70" t="str">
        <f>IFERROR(ROUNDUP(Kredyt1[[#This Row],[Miesiąc kredytu]]/12,0),"")</f>
        <v/>
      </c>
      <c r="F604" s="71" t="str">
        <f t="shared" si="9"/>
        <v/>
      </c>
      <c r="G604" s="72" t="str" cm="1">
        <f t="array" ref="G604">IF(Kredyt1[[#This Row],[Data]]="","",WIBOR3M)</f>
        <v/>
      </c>
      <c r="H604" s="72" t="str" cm="1">
        <f t="array" ref="H604">IF(Kredyt1[[#This Row],[Data]]="","",G604+MarżaBAnku)</f>
        <v/>
      </c>
      <c r="I604" s="73" t="str">
        <f>IF(Kredyt1[[#This Row],[Data]]="","",Kredyt1[[#This Row],[Cała rata]]-Kredyt1[[#This Row],[Kapitał]])</f>
        <v/>
      </c>
      <c r="J604" s="74" t="str" cm="1">
        <f t="array" ref="J604">IFERROR(-PPMT(Kredyt1[[#This Row],[Oprocentowanie]]/12,Kredyt1[[#This Row],[Miesiąc kredytu]],IlośćRat,KwotaKredytu),"")</f>
        <v/>
      </c>
      <c r="K604" s="75" t="str" cm="1">
        <f t="array" ref="K604">IF(Kredyt1[[#This Row],[Miesiąc kredytu]]="","",-PMT(Kredyt1[[#This Row],[Oprocentowanie]]/12,IlośćRat,KwotaKredytu))</f>
        <v/>
      </c>
      <c r="L604" s="75">
        <v>0</v>
      </c>
      <c r="M604" s="76" t="str">
        <f>IFERROR(M603-J604-Kredyt1[[#This Row],[Nadpłata]],"")</f>
        <v/>
      </c>
    </row>
    <row r="605" spans="4:13">
      <c r="D605" s="70" t="str" cm="1">
        <f t="array" ref="D605">IF(ROW(600:600)&lt;=IlośćRat,ROW(600:600),"")</f>
        <v/>
      </c>
      <c r="E605" s="70" t="str">
        <f>IFERROR(ROUNDUP(Kredyt1[[#This Row],[Miesiąc kredytu]]/12,0),"")</f>
        <v/>
      </c>
      <c r="F605" s="71" t="str">
        <f t="shared" si="9"/>
        <v/>
      </c>
      <c r="G605" s="72" t="str" cm="1">
        <f t="array" ref="G605">IF(Kredyt1[[#This Row],[Data]]="","",WIBOR3M)</f>
        <v/>
      </c>
      <c r="H605" s="72" t="str" cm="1">
        <f t="array" ref="H605">IF(Kredyt1[[#This Row],[Data]]="","",G605+MarżaBAnku)</f>
        <v/>
      </c>
      <c r="I605" s="73" t="str">
        <f>IF(Kredyt1[[#This Row],[Data]]="","",Kredyt1[[#This Row],[Cała rata]]-Kredyt1[[#This Row],[Kapitał]])</f>
        <v/>
      </c>
      <c r="J605" s="74" t="str" cm="1">
        <f t="array" ref="J605">IFERROR(-PPMT(Kredyt1[[#This Row],[Oprocentowanie]]/12,Kredyt1[[#This Row],[Miesiąc kredytu]],IlośćRat,KwotaKredytu),"")</f>
        <v/>
      </c>
      <c r="K605" s="75" t="str" cm="1">
        <f t="array" ref="K605">IF(Kredyt1[[#This Row],[Miesiąc kredytu]]="","",-PMT(Kredyt1[[#This Row],[Oprocentowanie]]/12,IlośćRat,KwotaKredytu))</f>
        <v/>
      </c>
      <c r="L605" s="75">
        <v>0</v>
      </c>
      <c r="M605" s="76" t="str">
        <f>IFERROR(M604-J605-Kredyt1[[#This Row],[Nadpłata]],"")</f>
        <v/>
      </c>
    </row>
    <row r="606" spans="4:13">
      <c r="D606" s="70" t="str" cm="1">
        <f t="array" ref="D606">IF(ROW(601:601)&lt;=IlośćRat,ROW(601:601),"")</f>
        <v/>
      </c>
      <c r="E606" s="70" t="str">
        <f>IFERROR(ROUNDUP(Kredyt1[[#This Row],[Miesiąc kredytu]]/12,0),"")</f>
        <v/>
      </c>
      <c r="F606" s="71" t="str">
        <f t="shared" si="9"/>
        <v/>
      </c>
      <c r="G606" s="72" t="str" cm="1">
        <f t="array" ref="G606">IF(Kredyt1[[#This Row],[Data]]="","",WIBOR3M)</f>
        <v/>
      </c>
      <c r="H606" s="72" t="str" cm="1">
        <f t="array" ref="H606">IF(Kredyt1[[#This Row],[Data]]="","",G606+MarżaBAnku)</f>
        <v/>
      </c>
      <c r="I606" s="73" t="str">
        <f>IF(Kredyt1[[#This Row],[Data]]="","",Kredyt1[[#This Row],[Cała rata]]-Kredyt1[[#This Row],[Kapitał]])</f>
        <v/>
      </c>
      <c r="J606" s="74" t="str" cm="1">
        <f t="array" ref="J606">IFERROR(-PPMT(Kredyt1[[#This Row],[Oprocentowanie]]/12,Kredyt1[[#This Row],[Miesiąc kredytu]],IlośćRat,KwotaKredytu),"")</f>
        <v/>
      </c>
      <c r="K606" s="75" t="str" cm="1">
        <f t="array" ref="K606">IF(Kredyt1[[#This Row],[Miesiąc kredytu]]="","",-PMT(Kredyt1[[#This Row],[Oprocentowanie]]/12,IlośćRat,KwotaKredytu))</f>
        <v/>
      </c>
      <c r="L606" s="75">
        <v>0</v>
      </c>
      <c r="M606" s="76" t="str">
        <f>IFERROR(M605-J606-Kredyt1[[#This Row],[Nadpłata]],"")</f>
        <v/>
      </c>
    </row>
    <row r="607" spans="4:13">
      <c r="D607" s="70" t="str" cm="1">
        <f t="array" ref="D607">IF(ROW(602:602)&lt;=IlośćRat,ROW(602:602),"")</f>
        <v/>
      </c>
      <c r="E607" s="70" t="str">
        <f>IFERROR(ROUNDUP(Kredyt1[[#This Row],[Miesiąc kredytu]]/12,0),"")</f>
        <v/>
      </c>
      <c r="F607" s="71" t="str">
        <f t="shared" si="9"/>
        <v/>
      </c>
      <c r="G607" s="72" t="str" cm="1">
        <f t="array" ref="G607">IF(Kredyt1[[#This Row],[Data]]="","",WIBOR3M)</f>
        <v/>
      </c>
      <c r="H607" s="72" t="str" cm="1">
        <f t="array" ref="H607">IF(Kredyt1[[#This Row],[Data]]="","",G607+MarżaBAnku)</f>
        <v/>
      </c>
      <c r="I607" s="73" t="str">
        <f>IF(Kredyt1[[#This Row],[Data]]="","",Kredyt1[[#This Row],[Cała rata]]-Kredyt1[[#This Row],[Kapitał]])</f>
        <v/>
      </c>
      <c r="J607" s="74" t="str" cm="1">
        <f t="array" ref="J607">IFERROR(-PPMT(Kredyt1[[#This Row],[Oprocentowanie]]/12,Kredyt1[[#This Row],[Miesiąc kredytu]],IlośćRat,KwotaKredytu),"")</f>
        <v/>
      </c>
      <c r="K607" s="75" t="str" cm="1">
        <f t="array" ref="K607">IF(Kredyt1[[#This Row],[Miesiąc kredytu]]="","",-PMT(Kredyt1[[#This Row],[Oprocentowanie]]/12,IlośćRat,KwotaKredytu))</f>
        <v/>
      </c>
      <c r="L607" s="75">
        <v>0</v>
      </c>
      <c r="M607" s="76" t="str">
        <f>IFERROR(M606-J607-Kredyt1[[#This Row],[Nadpłata]],"")</f>
        <v/>
      </c>
    </row>
    <row r="608" spans="4:13">
      <c r="D608" s="70" t="str" cm="1">
        <f t="array" ref="D608">IF(ROW(603:603)&lt;=IlośćRat,ROW(603:603),"")</f>
        <v/>
      </c>
      <c r="E608" s="70" t="str">
        <f>IFERROR(ROUNDUP(Kredyt1[[#This Row],[Miesiąc kredytu]]/12,0),"")</f>
        <v/>
      </c>
      <c r="F608" s="71" t="str">
        <f t="shared" si="9"/>
        <v/>
      </c>
      <c r="G608" s="72" t="str" cm="1">
        <f t="array" ref="G608">IF(Kredyt1[[#This Row],[Data]]="","",WIBOR3M)</f>
        <v/>
      </c>
      <c r="H608" s="72" t="str" cm="1">
        <f t="array" ref="H608">IF(Kredyt1[[#This Row],[Data]]="","",G608+MarżaBAnku)</f>
        <v/>
      </c>
      <c r="I608" s="73" t="str">
        <f>IF(Kredyt1[[#This Row],[Data]]="","",Kredyt1[[#This Row],[Cała rata]]-Kredyt1[[#This Row],[Kapitał]])</f>
        <v/>
      </c>
      <c r="J608" s="74" t="str" cm="1">
        <f t="array" ref="J608">IFERROR(-PPMT(Kredyt1[[#This Row],[Oprocentowanie]]/12,Kredyt1[[#This Row],[Miesiąc kredytu]],IlośćRat,KwotaKredytu),"")</f>
        <v/>
      </c>
      <c r="K608" s="75" t="str" cm="1">
        <f t="array" ref="K608">IF(Kredyt1[[#This Row],[Miesiąc kredytu]]="","",-PMT(Kredyt1[[#This Row],[Oprocentowanie]]/12,IlośćRat,KwotaKredytu))</f>
        <v/>
      </c>
      <c r="L608" s="75">
        <v>0</v>
      </c>
      <c r="M608" s="76" t="str">
        <f>IFERROR(M607-J608-Kredyt1[[#This Row],[Nadpłata]],"")</f>
        <v/>
      </c>
    </row>
    <row r="609" spans="4:13">
      <c r="D609" s="70" t="str" cm="1">
        <f t="array" ref="D609">IF(ROW(604:604)&lt;=IlośćRat,ROW(604:604),"")</f>
        <v/>
      </c>
      <c r="E609" s="70" t="str">
        <f>IFERROR(ROUNDUP(Kredyt1[[#This Row],[Miesiąc kredytu]]/12,0),"")</f>
        <v/>
      </c>
      <c r="F609" s="71" t="str">
        <f t="shared" si="9"/>
        <v/>
      </c>
      <c r="G609" s="72" t="str" cm="1">
        <f t="array" ref="G609">IF(Kredyt1[[#This Row],[Data]]="","",WIBOR3M)</f>
        <v/>
      </c>
      <c r="H609" s="72" t="str" cm="1">
        <f t="array" ref="H609">IF(Kredyt1[[#This Row],[Data]]="","",G609+MarżaBAnku)</f>
        <v/>
      </c>
      <c r="I609" s="73" t="str">
        <f>IF(Kredyt1[[#This Row],[Data]]="","",Kredyt1[[#This Row],[Cała rata]]-Kredyt1[[#This Row],[Kapitał]])</f>
        <v/>
      </c>
      <c r="J609" s="74" t="str" cm="1">
        <f t="array" ref="J609">IFERROR(-PPMT(Kredyt1[[#This Row],[Oprocentowanie]]/12,Kredyt1[[#This Row],[Miesiąc kredytu]],IlośćRat,KwotaKredytu),"")</f>
        <v/>
      </c>
      <c r="K609" s="75" t="str" cm="1">
        <f t="array" ref="K609">IF(Kredyt1[[#This Row],[Miesiąc kredytu]]="","",-PMT(Kredyt1[[#This Row],[Oprocentowanie]]/12,IlośćRat,KwotaKredytu))</f>
        <v/>
      </c>
      <c r="L609" s="75">
        <v>0</v>
      </c>
      <c r="M609" s="76" t="str">
        <f>IFERROR(M608-J609-Kredyt1[[#This Row],[Nadpłata]],"")</f>
        <v/>
      </c>
    </row>
    <row r="610" spans="4:13">
      <c r="D610" s="70" t="str" cm="1">
        <f t="array" ref="D610">IF(ROW(605:605)&lt;=IlośćRat,ROW(605:605),"")</f>
        <v/>
      </c>
      <c r="E610" s="70" t="str">
        <f>IFERROR(ROUNDUP(Kredyt1[[#This Row],[Miesiąc kredytu]]/12,0),"")</f>
        <v/>
      </c>
      <c r="F610" s="71" t="str">
        <f t="shared" si="9"/>
        <v/>
      </c>
      <c r="G610" s="72" t="str" cm="1">
        <f t="array" ref="G610">IF(Kredyt1[[#This Row],[Data]]="","",WIBOR3M)</f>
        <v/>
      </c>
      <c r="H610" s="72" t="str" cm="1">
        <f t="array" ref="H610">IF(Kredyt1[[#This Row],[Data]]="","",G610+MarżaBAnku)</f>
        <v/>
      </c>
      <c r="I610" s="73" t="str">
        <f>IF(Kredyt1[[#This Row],[Data]]="","",Kredyt1[[#This Row],[Cała rata]]-Kredyt1[[#This Row],[Kapitał]])</f>
        <v/>
      </c>
      <c r="J610" s="74" t="str" cm="1">
        <f t="array" ref="J610">IFERROR(-PPMT(Kredyt1[[#This Row],[Oprocentowanie]]/12,Kredyt1[[#This Row],[Miesiąc kredytu]],IlośćRat,KwotaKredytu),"")</f>
        <v/>
      </c>
      <c r="K610" s="75" t="str" cm="1">
        <f t="array" ref="K610">IF(Kredyt1[[#This Row],[Miesiąc kredytu]]="","",-PMT(Kredyt1[[#This Row],[Oprocentowanie]]/12,IlośćRat,KwotaKredytu))</f>
        <v/>
      </c>
      <c r="L610" s="75">
        <v>0</v>
      </c>
      <c r="M610" s="76" t="str">
        <f>IFERROR(M609-J610-Kredyt1[[#This Row],[Nadpłata]],"")</f>
        <v/>
      </c>
    </row>
    <row r="611" spans="4:13">
      <c r="D611" s="70" t="str" cm="1">
        <f t="array" ref="D611">IF(ROW(606:606)&lt;=IlośćRat,ROW(606:606),"")</f>
        <v/>
      </c>
      <c r="E611" s="70" t="str">
        <f>IFERROR(ROUNDUP(Kredyt1[[#This Row],[Miesiąc kredytu]]/12,0),"")</f>
        <v/>
      </c>
      <c r="F611" s="71" t="str">
        <f t="shared" si="9"/>
        <v/>
      </c>
      <c r="G611" s="72" t="str" cm="1">
        <f t="array" ref="G611">IF(Kredyt1[[#This Row],[Data]]="","",WIBOR3M)</f>
        <v/>
      </c>
      <c r="H611" s="72" t="str" cm="1">
        <f t="array" ref="H611">IF(Kredyt1[[#This Row],[Data]]="","",G611+MarżaBAnku)</f>
        <v/>
      </c>
      <c r="I611" s="73" t="str">
        <f>IF(Kredyt1[[#This Row],[Data]]="","",Kredyt1[[#This Row],[Cała rata]]-Kredyt1[[#This Row],[Kapitał]])</f>
        <v/>
      </c>
      <c r="J611" s="74" t="str" cm="1">
        <f t="array" ref="J611">IFERROR(-PPMT(Kredyt1[[#This Row],[Oprocentowanie]]/12,Kredyt1[[#This Row],[Miesiąc kredytu]],IlośćRat,KwotaKredytu),"")</f>
        <v/>
      </c>
      <c r="K611" s="75" t="str" cm="1">
        <f t="array" ref="K611">IF(Kredyt1[[#This Row],[Miesiąc kredytu]]="","",-PMT(Kredyt1[[#This Row],[Oprocentowanie]]/12,IlośćRat,KwotaKredytu))</f>
        <v/>
      </c>
      <c r="L611" s="75">
        <v>0</v>
      </c>
      <c r="M611" s="76" t="str">
        <f>IFERROR(M610-J611-Kredyt1[[#This Row],[Nadpłata]],"")</f>
        <v/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9FCE7-5F52-4ABA-9DBC-B99CF68C7125}">
  <dimension ref="A1:BB101"/>
  <sheetViews>
    <sheetView topLeftCell="G10" workbookViewId="0">
      <selection activeCell="L29" sqref="L29:Q30"/>
    </sheetView>
  </sheetViews>
  <sheetFormatPr defaultColWidth="9.140625" defaultRowHeight="14.45"/>
  <cols>
    <col min="1" max="1" width="9.140625" style="50"/>
    <col min="2" max="2" width="46.5703125" style="50" bestFit="1" customWidth="1"/>
    <col min="3" max="3" width="12.28515625" style="50" customWidth="1"/>
    <col min="4" max="4" width="11.85546875" style="50" customWidth="1"/>
    <col min="5" max="5" width="30.28515625" style="50" customWidth="1"/>
    <col min="6" max="6" width="13.7109375" style="50" customWidth="1"/>
    <col min="7" max="7" width="9.7109375" style="50" customWidth="1"/>
    <col min="8" max="8" width="13.85546875" style="50" customWidth="1"/>
    <col min="9" max="9" width="11.28515625" style="50" bestFit="1" customWidth="1"/>
    <col min="10" max="10" width="9.85546875" style="50" customWidth="1"/>
    <col min="11" max="11" width="10.28515625" style="50" customWidth="1"/>
    <col min="12" max="12" width="18" style="50" customWidth="1"/>
    <col min="13" max="13" width="13.85546875" style="50" bestFit="1" customWidth="1"/>
    <col min="14" max="14" width="18.7109375" style="50" customWidth="1"/>
    <col min="15" max="16" width="11.140625" style="50" bestFit="1" customWidth="1"/>
    <col min="17" max="17" width="22.28515625" style="50" customWidth="1"/>
    <col min="18" max="38" width="11.140625" style="50" bestFit="1" customWidth="1"/>
    <col min="39" max="53" width="11" style="50" customWidth="1"/>
    <col min="54" max="16384" width="9.140625" style="50"/>
  </cols>
  <sheetData>
    <row r="1" spans="1:21" ht="8.2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ht="35.450000000000003" thickBot="1">
      <c r="A2"/>
      <c r="B2" s="93" t="s">
        <v>90</v>
      </c>
      <c r="C2" s="93"/>
      <c r="D2"/>
      <c r="E2"/>
      <c r="F2"/>
      <c r="G2"/>
      <c r="H2"/>
      <c r="I2"/>
      <c r="J2"/>
      <c r="K2" s="98" t="s">
        <v>91</v>
      </c>
      <c r="L2" s="23"/>
      <c r="M2" s="23"/>
      <c r="N2"/>
      <c r="O2"/>
      <c r="P2"/>
      <c r="Q2"/>
      <c r="R2"/>
      <c r="S2"/>
      <c r="T2"/>
      <c r="U2"/>
    </row>
    <row r="3" spans="1:21" ht="8.25" customHeight="1" thickTop="1" thickBot="1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 ht="36" customHeight="1" thickBot="1">
      <c r="A4"/>
      <c r="B4" s="83" t="s">
        <v>92</v>
      </c>
      <c r="C4" s="84"/>
      <c r="D4" s="84">
        <v>20</v>
      </c>
      <c r="E4" s="227" t="s">
        <v>93</v>
      </c>
      <c r="F4" s="227"/>
      <c r="G4" s="227"/>
      <c r="H4" s="227"/>
      <c r="I4"/>
      <c r="J4"/>
      <c r="K4" s="275" t="s">
        <v>94</v>
      </c>
      <c r="L4" s="276"/>
      <c r="M4" s="276"/>
      <c r="N4" s="277" cm="1">
        <f t="array" aca="1" ref="N4" ca="1">IF(HoryzontInw&gt;=1,SUM(OFFSET(Wyniki2!$AB$54,0,0,HoryzontInwestycyjny,1)),"")+N17</f>
        <v>381670.11546392413</v>
      </c>
      <c r="O4" s="277"/>
      <c r="P4" s="277"/>
      <c r="Q4" s="273" t="s">
        <v>95</v>
      </c>
      <c r="R4" s="273"/>
      <c r="S4" s="273"/>
      <c r="T4" s="274"/>
      <c r="U4"/>
    </row>
    <row r="5" spans="1:21" ht="7.5" customHeight="1">
      <c r="A5"/>
      <c r="B5" s="48"/>
      <c r="C5" s="48"/>
      <c r="D5" s="4"/>
      <c r="E5"/>
      <c r="F5"/>
      <c r="G5"/>
      <c r="H5"/>
      <c r="I5"/>
      <c r="J5"/>
      <c r="K5" s="278" t="s">
        <v>96</v>
      </c>
      <c r="L5" s="279"/>
      <c r="M5" s="279"/>
      <c r="N5" s="280" cm="1">
        <f t="array" aca="1" ref="N5" ca="1">IRR(OFFSET($C$80, 0, 0, 1, HoryzontInw+1))</f>
        <v>7.5660787034032673E-2</v>
      </c>
      <c r="O5" s="280"/>
      <c r="P5" s="280"/>
      <c r="Q5" s="216" t="s">
        <v>97</v>
      </c>
      <c r="R5" s="216"/>
      <c r="S5" s="216"/>
      <c r="T5" s="217"/>
    </row>
    <row r="6" spans="1:21" ht="18" customHeight="1" thickBot="1">
      <c r="A6"/>
      <c r="B6" s="23" t="s">
        <v>98</v>
      </c>
      <c r="C6" s="23"/>
      <c r="D6"/>
      <c r="E6"/>
      <c r="F6"/>
      <c r="G6"/>
      <c r="H6"/>
      <c r="I6"/>
      <c r="J6"/>
      <c r="K6" s="278"/>
      <c r="L6" s="279"/>
      <c r="M6" s="279"/>
      <c r="N6" s="280"/>
      <c r="O6" s="280"/>
      <c r="P6" s="280"/>
      <c r="Q6" s="216"/>
      <c r="R6" s="216"/>
      <c r="S6" s="216"/>
      <c r="T6" s="217"/>
    </row>
    <row r="7" spans="1:21" ht="9.75" customHeight="1" thickBot="1">
      <c r="A7"/>
      <c r="B7" s="48"/>
      <c r="C7" s="48"/>
      <c r="D7"/>
      <c r="E7"/>
      <c r="F7"/>
      <c r="G7"/>
      <c r="H7"/>
      <c r="I7"/>
      <c r="J7"/>
      <c r="K7" s="278"/>
      <c r="L7" s="279"/>
      <c r="M7" s="279"/>
      <c r="N7" s="280"/>
      <c r="O7" s="280"/>
      <c r="P7" s="280"/>
      <c r="Q7" s="216"/>
      <c r="R7" s="216"/>
      <c r="S7" s="216"/>
      <c r="T7" s="217"/>
    </row>
    <row r="8" spans="1:21" ht="46.5" customHeight="1">
      <c r="A8"/>
      <c r="B8" s="230" t="s">
        <v>99</v>
      </c>
      <c r="C8" s="102"/>
      <c r="D8" s="231">
        <v>0.03</v>
      </c>
      <c r="E8" s="227" t="s">
        <v>100</v>
      </c>
      <c r="F8" s="227"/>
      <c r="G8" s="227"/>
      <c r="H8" s="227"/>
      <c r="I8"/>
      <c r="J8"/>
      <c r="K8" s="250" t="s">
        <v>101</v>
      </c>
      <c r="L8" s="251"/>
      <c r="M8" s="251"/>
      <c r="N8" s="281" cm="1">
        <f t="array" aca="1" ref="N8" ca="1">IF(HoryzontInw&gt;=1, SUM(OFFSET($D$78, 0, 0, 1, HoryzontInw)), "")</f>
        <v>398361.82572647562</v>
      </c>
      <c r="O8" s="281"/>
      <c r="P8" s="281"/>
      <c r="Q8" s="216" t="s">
        <v>102</v>
      </c>
      <c r="R8" s="216"/>
      <c r="S8" s="216"/>
      <c r="T8" s="217"/>
    </row>
    <row r="9" spans="1:21" ht="27" customHeight="1">
      <c r="A9"/>
      <c r="B9" s="223"/>
      <c r="C9" s="205"/>
      <c r="D9" s="232"/>
      <c r="E9" s="227"/>
      <c r="F9" s="227"/>
      <c r="G9" s="227"/>
      <c r="H9" s="227"/>
      <c r="I9"/>
      <c r="J9"/>
      <c r="K9" s="218" t="s">
        <v>103</v>
      </c>
      <c r="L9" s="219"/>
      <c r="M9" s="219"/>
      <c r="N9" s="220">
        <f>D87</f>
        <v>2.5836592116272913E-2</v>
      </c>
      <c r="O9" s="220"/>
      <c r="P9" s="220"/>
      <c r="Q9" s="216" t="s">
        <v>104</v>
      </c>
      <c r="R9" s="216"/>
      <c r="S9" s="216"/>
      <c r="T9" s="217"/>
    </row>
    <row r="10" spans="1:21" ht="40.5" customHeight="1">
      <c r="A10"/>
      <c r="B10" s="223" t="s">
        <v>105</v>
      </c>
      <c r="C10" s="205"/>
      <c r="D10" s="233">
        <v>12</v>
      </c>
      <c r="E10" s="227" t="s">
        <v>106</v>
      </c>
      <c r="F10" s="227"/>
      <c r="G10" s="227"/>
      <c r="H10" s="227"/>
      <c r="I10"/>
      <c r="J10"/>
      <c r="K10" s="218"/>
      <c r="L10" s="219"/>
      <c r="M10" s="219"/>
      <c r="N10" s="220"/>
      <c r="O10" s="220"/>
      <c r="P10" s="220"/>
      <c r="Q10" s="216"/>
      <c r="R10" s="216"/>
      <c r="S10" s="216"/>
      <c r="T10" s="217"/>
    </row>
    <row r="11" spans="1:21" ht="15" customHeight="1">
      <c r="A11"/>
      <c r="B11" s="223"/>
      <c r="C11" s="205"/>
      <c r="D11" s="233"/>
      <c r="E11" s="227"/>
      <c r="F11" s="227"/>
      <c r="G11" s="227"/>
      <c r="H11" s="227"/>
      <c r="I11"/>
      <c r="J11"/>
      <c r="K11" s="218" t="s">
        <v>107</v>
      </c>
      <c r="L11" s="219"/>
      <c r="M11" s="219"/>
      <c r="N11" s="220">
        <f>D86</f>
        <v>0.6324921036440404</v>
      </c>
      <c r="O11" s="220"/>
      <c r="P11" s="220"/>
      <c r="Q11" s="216" t="s">
        <v>108</v>
      </c>
      <c r="R11" s="216"/>
      <c r="S11" s="216"/>
      <c r="T11" s="217"/>
    </row>
    <row r="12" spans="1:21" ht="15" customHeight="1">
      <c r="A12"/>
      <c r="B12" s="222" t="s">
        <v>109</v>
      </c>
      <c r="C12" s="19"/>
      <c r="D12" s="224">
        <v>3200</v>
      </c>
      <c r="E12" s="227" t="s">
        <v>110</v>
      </c>
      <c r="F12" s="227"/>
      <c r="G12" s="227"/>
      <c r="H12" s="227"/>
      <c r="I12"/>
      <c r="J12"/>
      <c r="K12" s="218"/>
      <c r="L12" s="219"/>
      <c r="M12" s="219"/>
      <c r="N12" s="220"/>
      <c r="O12" s="220"/>
      <c r="P12" s="220"/>
      <c r="Q12" s="216"/>
      <c r="R12" s="216"/>
      <c r="S12" s="216"/>
      <c r="T12" s="217"/>
    </row>
    <row r="13" spans="1:21" ht="32.25" customHeight="1">
      <c r="A13"/>
      <c r="B13" s="223"/>
      <c r="C13" s="205"/>
      <c r="D13" s="224"/>
      <c r="E13" s="227"/>
      <c r="F13" s="227"/>
      <c r="G13" s="227"/>
      <c r="H13" s="227"/>
      <c r="I13"/>
      <c r="J13"/>
      <c r="K13" s="250" t="s">
        <v>111</v>
      </c>
      <c r="L13" s="251"/>
      <c r="M13" s="251"/>
      <c r="N13" s="221" cm="1">
        <f t="array" ref="N13">INDEX(D85:BA85,1,HoryzontInw)</f>
        <v>715430.46965545765</v>
      </c>
      <c r="O13" s="221"/>
      <c r="P13" s="221"/>
      <c r="Q13" s="256"/>
      <c r="R13" s="256"/>
      <c r="S13" s="256"/>
      <c r="T13" s="257"/>
    </row>
    <row r="14" spans="1:21" ht="21" customHeight="1">
      <c r="A14"/>
      <c r="B14" s="225" t="s">
        <v>112</v>
      </c>
      <c r="C14" s="203"/>
      <c r="D14" s="226" t="s">
        <v>113</v>
      </c>
      <c r="E14" s="228" t="s">
        <v>114</v>
      </c>
      <c r="F14" s="228"/>
      <c r="G14" s="228"/>
      <c r="H14" s="228"/>
      <c r="I14"/>
      <c r="J14"/>
      <c r="K14" s="250"/>
      <c r="L14" s="251"/>
      <c r="M14" s="251"/>
      <c r="N14" s="221"/>
      <c r="O14" s="221"/>
      <c r="P14" s="221"/>
      <c r="Q14" s="256"/>
      <c r="R14" s="256"/>
      <c r="S14" s="256"/>
      <c r="T14" s="257"/>
    </row>
    <row r="15" spans="1:21" ht="17.25" customHeight="1">
      <c r="A15"/>
      <c r="B15" s="225"/>
      <c r="C15" s="203"/>
      <c r="D15" s="226"/>
      <c r="E15" s="228"/>
      <c r="F15" s="228"/>
      <c r="G15" s="228"/>
      <c r="H15" s="228"/>
      <c r="I15"/>
      <c r="J15"/>
      <c r="K15" s="218" t="s">
        <v>115</v>
      </c>
      <c r="L15" s="219"/>
      <c r="M15" s="219"/>
      <c r="N15" s="221" cm="1">
        <f t="array" ref="N15">INDEX(D85:BA85,1,HoryzontInw)-WartośćM</f>
        <v>307430.46965545765</v>
      </c>
      <c r="O15" s="221"/>
      <c r="P15" s="221"/>
      <c r="Q15" s="216" t="s">
        <v>116</v>
      </c>
      <c r="R15" s="216"/>
      <c r="S15" s="216"/>
      <c r="T15" s="217"/>
    </row>
    <row r="16" spans="1:21" ht="19.5" customHeight="1">
      <c r="A16"/>
      <c r="B16" s="225"/>
      <c r="C16" s="203"/>
      <c r="D16" s="226"/>
      <c r="E16" s="229"/>
      <c r="F16" s="229"/>
      <c r="G16" s="229"/>
      <c r="H16" s="229"/>
      <c r="I16"/>
      <c r="J16"/>
      <c r="K16" s="218"/>
      <c r="L16" s="219"/>
      <c r="M16" s="219"/>
      <c r="N16" s="221"/>
      <c r="O16" s="221"/>
      <c r="P16" s="221"/>
      <c r="Q16" s="216"/>
      <c r="R16" s="216"/>
      <c r="S16" s="216"/>
      <c r="T16" s="217"/>
    </row>
    <row r="17" spans="1:20" ht="30.75" customHeight="1">
      <c r="A17"/>
      <c r="B17" s="81" t="s">
        <v>117</v>
      </c>
      <c r="C17" s="70"/>
      <c r="D17" s="82">
        <v>0.04</v>
      </c>
      <c r="E17" s="227" t="s">
        <v>118</v>
      </c>
      <c r="F17" s="227"/>
      <c r="G17" s="227"/>
      <c r="H17" s="227"/>
      <c r="I17"/>
      <c r="J17"/>
      <c r="K17" s="250" t="s">
        <v>119</v>
      </c>
      <c r="L17" s="251"/>
      <c r="M17" s="251"/>
      <c r="N17" s="221" cm="1">
        <f t="array" ref="N17">IF(CzyKredyt="NIE",INDEX('Wynik '!D85:BA85,1,HoryzontInw)-SumaK,INDEX('Wynik '!D85:BA85,1,HoryzontInw)-SumaK-KosztyKredytu)</f>
        <v>375129.55965545762</v>
      </c>
      <c r="O17" s="221"/>
      <c r="P17" s="221"/>
      <c r="Q17" s="258" t="s">
        <v>120</v>
      </c>
      <c r="R17" s="258"/>
      <c r="S17" s="258"/>
      <c r="T17" s="259"/>
    </row>
    <row r="18" spans="1:20" ht="15" customHeight="1" thickBot="1">
      <c r="A18"/>
      <c r="B18" s="42" t="s">
        <v>121</v>
      </c>
      <c r="C18" s="80"/>
      <c r="D18" s="80">
        <v>150</v>
      </c>
      <c r="E18" s="249" t="s">
        <v>122</v>
      </c>
      <c r="F18" s="249"/>
      <c r="G18" s="249"/>
      <c r="H18" s="249"/>
      <c r="I18" s="63"/>
      <c r="J18" s="63"/>
      <c r="K18" s="250"/>
      <c r="L18" s="251"/>
      <c r="M18" s="251"/>
      <c r="N18" s="221"/>
      <c r="O18" s="221"/>
      <c r="P18" s="221"/>
      <c r="Q18" s="258"/>
      <c r="R18" s="258"/>
      <c r="S18" s="258"/>
      <c r="T18" s="259"/>
    </row>
    <row r="19" spans="1:20" ht="8.25" customHeight="1">
      <c r="A19"/>
      <c r="B19"/>
      <c r="C19"/>
      <c r="D19"/>
      <c r="E19"/>
      <c r="F19" s="88"/>
      <c r="G19" s="88"/>
      <c r="H19" s="88"/>
      <c r="I19" s="63"/>
      <c r="J19" s="63"/>
      <c r="K19" s="250" t="s">
        <v>123</v>
      </c>
      <c r="L19" s="251"/>
      <c r="M19" s="251"/>
      <c r="N19" s="254" cm="1">
        <f t="array" ref="N19">MATCH(1, (D88:BA88&gt;0)*1, 0)</f>
        <v>2</v>
      </c>
      <c r="O19" s="254"/>
      <c r="P19" s="254"/>
      <c r="Q19" s="260" t="s">
        <v>124</v>
      </c>
      <c r="R19" s="260"/>
      <c r="S19" s="260"/>
      <c r="T19" s="261"/>
    </row>
    <row r="20" spans="1:20" ht="15" customHeight="1" thickBot="1">
      <c r="A20"/>
      <c r="B20" s="23" t="s">
        <v>125</v>
      </c>
      <c r="C20" s="23"/>
      <c r="D20"/>
      <c r="E20"/>
      <c r="F20" s="88"/>
      <c r="G20" s="88"/>
      <c r="H20" s="88"/>
      <c r="I20" s="63"/>
      <c r="J20" s="63"/>
      <c r="K20" s="250"/>
      <c r="L20" s="251"/>
      <c r="M20" s="251"/>
      <c r="N20" s="254"/>
      <c r="O20" s="254"/>
      <c r="P20" s="254"/>
      <c r="Q20" s="260"/>
      <c r="R20" s="260"/>
      <c r="S20" s="260"/>
      <c r="T20" s="261"/>
    </row>
    <row r="21" spans="1:20" ht="7.5" customHeight="1" thickBot="1">
      <c r="A21"/>
      <c r="B21"/>
      <c r="C21"/>
      <c r="D21"/>
      <c r="E21"/>
      <c r="F21" s="88"/>
      <c r="G21" s="88"/>
      <c r="H21" s="88"/>
      <c r="I21" s="63"/>
      <c r="J21" s="63"/>
      <c r="K21" s="250"/>
      <c r="L21" s="251"/>
      <c r="M21" s="251"/>
      <c r="N21" s="254"/>
      <c r="O21" s="254"/>
      <c r="P21" s="254"/>
      <c r="Q21" s="260"/>
      <c r="R21" s="260"/>
      <c r="S21" s="260"/>
      <c r="T21" s="261"/>
    </row>
    <row r="22" spans="1:20" ht="15" customHeight="1" thickBot="1">
      <c r="A22"/>
      <c r="B22" s="43" t="s">
        <v>126</v>
      </c>
      <c r="C22" s="97"/>
      <c r="D22" s="77">
        <v>0</v>
      </c>
      <c r="E22" s="227" t="s">
        <v>127</v>
      </c>
      <c r="F22" s="227"/>
      <c r="G22" s="227"/>
      <c r="H22" s="227"/>
      <c r="I22" s="63"/>
      <c r="J22" s="63"/>
      <c r="K22" s="252"/>
      <c r="L22" s="253"/>
      <c r="M22" s="253"/>
      <c r="N22" s="255"/>
      <c r="O22" s="255"/>
      <c r="P22" s="255"/>
      <c r="Q22" s="262"/>
      <c r="R22" s="262"/>
      <c r="S22" s="262"/>
      <c r="T22" s="263"/>
    </row>
    <row r="23" spans="1:20" ht="30.75" customHeight="1" thickBot="1">
      <c r="A23"/>
      <c r="B23" s="204" t="s">
        <v>128</v>
      </c>
      <c r="C23" s="205"/>
      <c r="D23" s="207">
        <v>1</v>
      </c>
      <c r="E23" s="227" t="s">
        <v>129</v>
      </c>
      <c r="F23" s="227"/>
      <c r="G23" s="227"/>
      <c r="H23" s="227"/>
      <c r="I23" s="63"/>
      <c r="J23" s="63"/>
      <c r="K23"/>
      <c r="L23"/>
      <c r="M23"/>
      <c r="N23"/>
      <c r="O23"/>
      <c r="P23"/>
      <c r="Q23"/>
      <c r="R23"/>
      <c r="S23"/>
      <c r="T23"/>
    </row>
    <row r="24" spans="1:20" ht="15.75" customHeight="1">
      <c r="A24"/>
      <c r="B24" s="223" t="s">
        <v>130</v>
      </c>
      <c r="C24" s="205"/>
      <c r="D24" s="224">
        <v>5000</v>
      </c>
      <c r="E24" s="227" t="s">
        <v>131</v>
      </c>
      <c r="F24" s="227"/>
      <c r="G24" s="227"/>
      <c r="H24" s="227"/>
      <c r="I24" s="63"/>
      <c r="J24" s="63"/>
      <c r="K24"/>
      <c r="L24" s="235" t="s">
        <v>132</v>
      </c>
      <c r="M24" s="236"/>
      <c r="N24" s="236"/>
      <c r="O24" s="236"/>
      <c r="P24" s="236"/>
      <c r="Q24" s="237"/>
      <c r="R24"/>
      <c r="S24"/>
      <c r="T24"/>
    </row>
    <row r="25" spans="1:20" ht="21.75" customHeight="1" thickBot="1">
      <c r="A25"/>
      <c r="B25" s="223"/>
      <c r="C25" s="205"/>
      <c r="D25" s="224"/>
      <c r="E25" s="227"/>
      <c r="F25" s="227"/>
      <c r="G25" s="227"/>
      <c r="H25" s="227"/>
      <c r="I25" s="63"/>
      <c r="J25" s="63"/>
      <c r="K25" s="63"/>
      <c r="L25" s="238"/>
      <c r="M25" s="239"/>
      <c r="N25" s="239"/>
      <c r="O25" s="239"/>
      <c r="P25" s="239"/>
      <c r="Q25" s="240"/>
      <c r="R25" s="63"/>
      <c r="S25" s="63"/>
      <c r="T25" s="63"/>
    </row>
    <row r="26" spans="1:20" ht="15" customHeight="1">
      <c r="A26"/>
      <c r="B26" s="206" t="s">
        <v>133</v>
      </c>
      <c r="C26" s="102"/>
      <c r="D26" s="79">
        <v>0</v>
      </c>
      <c r="E26" s="234" t="s">
        <v>134</v>
      </c>
      <c r="F26" s="234"/>
      <c r="G26" s="234"/>
      <c r="H26" s="234"/>
      <c r="I26" s="63"/>
      <c r="J26" s="63"/>
      <c r="K26" s="63"/>
      <c r="L26" s="238"/>
      <c r="M26" s="239"/>
      <c r="N26" s="239"/>
      <c r="O26" s="239"/>
      <c r="P26" s="239"/>
      <c r="Q26" s="240"/>
      <c r="R26" s="63"/>
      <c r="S26" s="63"/>
      <c r="T26" s="63"/>
    </row>
    <row r="27" spans="1:20" ht="33" customHeight="1">
      <c r="A27"/>
      <c r="B27" s="204" t="s">
        <v>135</v>
      </c>
      <c r="C27" s="205"/>
      <c r="D27" s="78">
        <v>2</v>
      </c>
      <c r="E27" s="248" t="s">
        <v>136</v>
      </c>
      <c r="F27" s="227"/>
      <c r="G27" s="227"/>
      <c r="H27" s="227"/>
      <c r="I27" s="63"/>
      <c r="J27" s="63"/>
      <c r="K27" s="63"/>
      <c r="L27" s="238"/>
      <c r="M27" s="239"/>
      <c r="N27" s="239"/>
      <c r="O27" s="239"/>
      <c r="P27" s="239"/>
      <c r="Q27" s="240"/>
      <c r="R27" s="63"/>
      <c r="S27" s="63"/>
      <c r="T27" s="63"/>
    </row>
    <row r="28" spans="1:20" ht="18" customHeight="1">
      <c r="A28"/>
      <c r="B28" s="223" t="s">
        <v>137</v>
      </c>
      <c r="C28" s="205"/>
      <c r="D28" s="242">
        <v>20000</v>
      </c>
      <c r="E28" s="248" t="s">
        <v>138</v>
      </c>
      <c r="F28" s="227"/>
      <c r="G28" s="227"/>
      <c r="H28" s="227"/>
      <c r="I28" s="63"/>
      <c r="J28" s="63"/>
      <c r="K28" s="63"/>
      <c r="L28" s="238"/>
      <c r="M28" s="239"/>
      <c r="N28" s="239"/>
      <c r="O28" s="239"/>
      <c r="P28" s="239"/>
      <c r="Q28" s="240"/>
      <c r="R28" s="63"/>
      <c r="S28" s="63"/>
      <c r="T28" s="63"/>
    </row>
    <row r="29" spans="1:20" ht="15.75" customHeight="1" thickBot="1">
      <c r="A29"/>
      <c r="B29" s="241"/>
      <c r="C29" s="103"/>
      <c r="D29" s="243"/>
      <c r="E29" s="283"/>
      <c r="F29" s="284"/>
      <c r="G29" s="284"/>
      <c r="H29" s="284"/>
      <c r="I29" s="63"/>
      <c r="J29" s="63"/>
      <c r="K29" s="63"/>
      <c r="L29" s="285" t="s">
        <v>139</v>
      </c>
      <c r="M29" s="286"/>
      <c r="N29" s="286"/>
      <c r="O29" s="244" t="s">
        <v>140</v>
      </c>
      <c r="P29" s="244"/>
      <c r="Q29" s="245"/>
      <c r="R29" s="63"/>
      <c r="S29" s="63"/>
      <c r="T29" s="63"/>
    </row>
    <row r="30" spans="1:20" ht="15" customHeight="1" thickBot="1">
      <c r="A30"/>
      <c r="B30" s="81" t="s">
        <v>141</v>
      </c>
      <c r="C30" s="70"/>
      <c r="D30" s="70">
        <v>500</v>
      </c>
      <c r="E30" s="227" t="s">
        <v>142</v>
      </c>
      <c r="F30" s="227"/>
      <c r="G30" s="227"/>
      <c r="H30" s="227"/>
      <c r="I30" s="63"/>
      <c r="J30" s="63"/>
      <c r="K30" s="63"/>
      <c r="L30" s="287"/>
      <c r="M30" s="288"/>
      <c r="N30" s="288"/>
      <c r="O30" s="246"/>
      <c r="P30" s="246"/>
      <c r="Q30" s="247"/>
      <c r="R30" s="63"/>
      <c r="S30" s="63"/>
      <c r="T30" s="63"/>
    </row>
    <row r="31" spans="1:20" ht="15" customHeight="1">
      <c r="A31"/>
      <c r="B31" s="81" t="s">
        <v>143</v>
      </c>
      <c r="C31" s="70"/>
      <c r="D31" s="85">
        <v>400</v>
      </c>
      <c r="E31" s="70"/>
      <c r="F31" s="89"/>
      <c r="G31" s="89"/>
      <c r="H31" s="89"/>
      <c r="I31" s="63"/>
      <c r="J31" s="63"/>
      <c r="K31" s="63"/>
      <c r="L31" s="95"/>
      <c r="M31" s="95"/>
      <c r="N31" s="95"/>
      <c r="O31" s="95"/>
      <c r="P31" s="95"/>
      <c r="Q31" s="95"/>
      <c r="R31" s="63"/>
      <c r="S31" s="63"/>
      <c r="T31" s="63"/>
    </row>
    <row r="32" spans="1:20" ht="15" customHeight="1">
      <c r="A32"/>
      <c r="B32" s="81" t="s">
        <v>144</v>
      </c>
      <c r="C32" s="70"/>
      <c r="D32" s="70">
        <v>150</v>
      </c>
      <c r="E32" s="227" t="s">
        <v>145</v>
      </c>
      <c r="F32" s="227"/>
      <c r="G32" s="227"/>
      <c r="H32" s="227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</row>
    <row r="33" spans="1:54" ht="15" customHeight="1" thickBot="1">
      <c r="A33"/>
      <c r="B33" s="86" t="s">
        <v>146</v>
      </c>
      <c r="C33" s="104"/>
      <c r="D33" s="87">
        <v>0.15</v>
      </c>
      <c r="E33" s="70"/>
      <c r="F33" s="90"/>
      <c r="G33" s="90"/>
      <c r="H33" s="90"/>
      <c r="I33" s="62"/>
      <c r="J33" s="62"/>
      <c r="K33" s="63"/>
      <c r="L33" s="63"/>
      <c r="M33" s="63"/>
      <c r="N33" s="63"/>
      <c r="O33" s="63"/>
      <c r="P33" s="63"/>
      <c r="Q33" s="63"/>
      <c r="R33" s="63"/>
      <c r="S33" s="63"/>
      <c r="T33" s="63"/>
    </row>
    <row r="34" spans="1:54" ht="15" customHeight="1">
      <c r="A34"/>
      <c r="B34" s="41" t="s">
        <v>147</v>
      </c>
      <c r="C34" s="41"/>
      <c r="D34" s="41" t="s">
        <v>46</v>
      </c>
      <c r="E34" s="282" t="s">
        <v>148</v>
      </c>
      <c r="F34" s="282"/>
      <c r="G34" s="282"/>
      <c r="H34" s="282"/>
      <c r="I34" s="62"/>
      <c r="J34" s="62"/>
      <c r="K34" s="63"/>
      <c r="L34" s="120"/>
      <c r="M34" s="63"/>
      <c r="N34" s="63"/>
      <c r="O34" s="63"/>
      <c r="P34" s="63"/>
      <c r="Q34" s="63"/>
      <c r="R34" s="63"/>
      <c r="S34" s="63"/>
      <c r="T34" s="63"/>
    </row>
    <row r="35" spans="1:54" ht="15" customHeight="1">
      <c r="A35"/>
      <c r="B35" t="s">
        <v>149</v>
      </c>
      <c r="C35"/>
      <c r="D35" s="2">
        <v>8.5000000000000006E-2</v>
      </c>
      <c r="E35"/>
      <c r="F35" s="61"/>
      <c r="G35" s="61"/>
      <c r="H35" s="61"/>
      <c r="I35" s="62"/>
      <c r="J35" s="62"/>
      <c r="K35" s="63"/>
      <c r="L35" s="121"/>
      <c r="M35" s="121"/>
      <c r="N35" s="63"/>
      <c r="O35" s="63"/>
      <c r="P35" s="63"/>
      <c r="Q35" s="63"/>
      <c r="R35" s="63"/>
      <c r="S35" s="63"/>
      <c r="T35" s="63"/>
    </row>
    <row r="36" spans="1:54" ht="15" customHeight="1">
      <c r="A36"/>
      <c r="B36" t="s">
        <v>150</v>
      </c>
      <c r="C36"/>
      <c r="D36" s="2">
        <v>0.125</v>
      </c>
      <c r="E36"/>
      <c r="F36" s="61"/>
      <c r="G36" s="61"/>
      <c r="H36" s="61"/>
      <c r="I36" s="62"/>
      <c r="J36" s="62"/>
      <c r="K36" s="62"/>
      <c r="L36" s="122"/>
      <c r="M36" s="4"/>
      <c r="N36" s="4"/>
      <c r="O36"/>
      <c r="P36"/>
      <c r="Q36"/>
      <c r="R36" s="99"/>
      <c r="S36" s="99"/>
      <c r="T36" s="99"/>
    </row>
    <row r="37" spans="1:54" ht="14.45" customHeight="1">
      <c r="A37"/>
      <c r="B37"/>
      <c r="C37"/>
      <c r="D37"/>
      <c r="E37"/>
      <c r="F37"/>
      <c r="G37"/>
      <c r="H37"/>
      <c r="I37"/>
      <c r="J37"/>
      <c r="K37"/>
      <c r="L37" s="95"/>
      <c r="M37" s="95"/>
      <c r="N37" s="95"/>
      <c r="O37" s="95"/>
      <c r="P37" s="95"/>
      <c r="Q37" s="95"/>
      <c r="R37"/>
      <c r="S37"/>
      <c r="T37"/>
    </row>
    <row r="38" spans="1:54" ht="15" customHeight="1" thickBot="1">
      <c r="A38"/>
      <c r="B38" s="23" t="s">
        <v>115</v>
      </c>
      <c r="C38" s="23"/>
      <c r="D38"/>
      <c r="E38"/>
      <c r="F38"/>
      <c r="G38"/>
      <c r="H38"/>
      <c r="I38"/>
      <c r="J38"/>
      <c r="K38"/>
      <c r="L38" s="63"/>
      <c r="M38" s="63"/>
      <c r="N38" s="63"/>
      <c r="O38" s="63"/>
      <c r="P38" s="63"/>
      <c r="Q38" s="63"/>
      <c r="R38"/>
      <c r="S38"/>
      <c r="T38"/>
    </row>
    <row r="39" spans="1:54" ht="6" customHeight="1">
      <c r="A39"/>
      <c r="B39" s="24"/>
      <c r="C39" s="24"/>
      <c r="D39"/>
      <c r="E39"/>
      <c r="F39"/>
      <c r="G39"/>
      <c r="H39"/>
      <c r="I39"/>
      <c r="J39"/>
      <c r="K39"/>
      <c r="L39" s="63"/>
      <c r="M39" s="63"/>
      <c r="N39" s="63"/>
      <c r="O39" s="63"/>
      <c r="P39" s="63"/>
      <c r="Q39" s="63"/>
      <c r="R39"/>
      <c r="S39"/>
      <c r="T39"/>
    </row>
    <row r="40" spans="1:54" ht="14.45" customHeight="1">
      <c r="A40"/>
      <c r="B40" s="264" t="s">
        <v>151</v>
      </c>
      <c r="C40" s="203"/>
      <c r="D40" s="226" t="s">
        <v>113</v>
      </c>
      <c r="E40" s="265" t="s">
        <v>152</v>
      </c>
      <c r="F40" s="266"/>
      <c r="G40" s="266"/>
      <c r="H40" s="267"/>
      <c r="I40"/>
      <c r="J40"/>
      <c r="K40"/>
      <c r="L40" s="63"/>
      <c r="M40" s="63"/>
      <c r="N40" s="63"/>
      <c r="O40" s="63"/>
      <c r="P40" s="63"/>
      <c r="Q40" s="63"/>
      <c r="R40"/>
      <c r="S40"/>
      <c r="T40"/>
    </row>
    <row r="41" spans="1:54" ht="14.45" customHeight="1">
      <c r="A41"/>
      <c r="B41" s="264"/>
      <c r="C41" s="203"/>
      <c r="D41" s="226"/>
      <c r="E41" s="268"/>
      <c r="F41" s="228"/>
      <c r="G41" s="228"/>
      <c r="H41" s="269"/>
      <c r="I41"/>
      <c r="J41"/>
      <c r="K41"/>
      <c r="L41" s="63"/>
      <c r="M41" s="63"/>
      <c r="N41" s="63"/>
      <c r="O41" s="63"/>
      <c r="P41" s="63"/>
      <c r="Q41" s="63"/>
      <c r="R41"/>
      <c r="S41"/>
      <c r="T41"/>
    </row>
    <row r="42" spans="1:54" ht="14.45" customHeight="1">
      <c r="A42"/>
      <c r="B42" s="264"/>
      <c r="C42" s="203"/>
      <c r="D42" s="226"/>
      <c r="E42" s="270"/>
      <c r="F42" s="271"/>
      <c r="G42" s="271"/>
      <c r="H42" s="272"/>
      <c r="I42"/>
      <c r="J42"/>
      <c r="K42"/>
      <c r="L42" s="63"/>
      <c r="M42" s="63"/>
      <c r="N42" s="63"/>
      <c r="O42" s="63"/>
      <c r="P42" s="63"/>
      <c r="Q42" s="63"/>
      <c r="R42"/>
      <c r="S42"/>
      <c r="T42"/>
    </row>
    <row r="43" spans="1:54" ht="15.6">
      <c r="A43"/>
      <c r="B43" t="s">
        <v>153</v>
      </c>
      <c r="C43"/>
      <c r="D43" s="2">
        <v>0.01</v>
      </c>
      <c r="E43" t="s">
        <v>154</v>
      </c>
      <c r="F43"/>
      <c r="G43"/>
      <c r="H43"/>
      <c r="I43"/>
      <c r="J43"/>
      <c r="K43"/>
      <c r="L43" s="63"/>
      <c r="M43" s="63"/>
      <c r="N43" s="63"/>
      <c r="O43" s="63"/>
      <c r="P43" s="63"/>
      <c r="Q43" s="63"/>
      <c r="R43"/>
      <c r="S43"/>
      <c r="T43"/>
    </row>
    <row r="44" spans="1:54" ht="15.6">
      <c r="A44"/>
      <c r="B44" t="s">
        <v>155</v>
      </c>
      <c r="C44"/>
      <c r="D44" s="94">
        <v>50000</v>
      </c>
      <c r="E44" t="s">
        <v>156</v>
      </c>
      <c r="F44"/>
      <c r="G44"/>
      <c r="H44"/>
      <c r="I44"/>
      <c r="J44"/>
      <c r="K44"/>
      <c r="L44" s="63"/>
      <c r="M44" s="63"/>
      <c r="N44" s="63"/>
      <c r="O44" s="63"/>
      <c r="P44" s="63"/>
      <c r="Q44" s="63"/>
      <c r="R44"/>
      <c r="S44"/>
      <c r="T44"/>
    </row>
    <row r="45" spans="1:54" ht="15.6">
      <c r="A45"/>
      <c r="B45"/>
      <c r="C45"/>
      <c r="D45"/>
      <c r="E45"/>
      <c r="F45"/>
      <c r="G45"/>
      <c r="H45"/>
      <c r="I45"/>
      <c r="J45"/>
      <c r="K45"/>
      <c r="L45" s="63"/>
      <c r="M45" s="63"/>
      <c r="N45" s="63"/>
      <c r="O45" s="63"/>
      <c r="P45" s="63"/>
      <c r="Q45" s="63"/>
      <c r="R45"/>
      <c r="S45"/>
      <c r="T45"/>
    </row>
    <row r="46" spans="1:54" ht="15.6">
      <c r="A46"/>
      <c r="B46"/>
      <c r="C46"/>
      <c r="D46"/>
      <c r="E46"/>
      <c r="F46"/>
      <c r="G46"/>
      <c r="H46"/>
      <c r="I46"/>
      <c r="J46"/>
      <c r="K46"/>
      <c r="L46" s="63"/>
      <c r="M46" s="63"/>
      <c r="N46" s="63"/>
      <c r="O46" s="63"/>
      <c r="P46" s="63"/>
      <c r="Q46" s="63"/>
      <c r="R46"/>
      <c r="S46"/>
      <c r="T46"/>
    </row>
    <row r="47" spans="1:54" ht="16.149999999999999" thickBot="1">
      <c r="A47"/>
      <c r="B47" s="23" t="s">
        <v>157</v>
      </c>
      <c r="C47" s="23"/>
      <c r="D47"/>
      <c r="E47" s="13"/>
      <c r="F47" s="17"/>
      <c r="G47" s="17"/>
      <c r="H47"/>
      <c r="I47"/>
      <c r="J47"/>
      <c r="K47"/>
      <c r="L47" s="63"/>
      <c r="M47" s="63"/>
      <c r="N47" s="63"/>
      <c r="O47" s="63"/>
      <c r="P47" s="63"/>
      <c r="Q47" s="63"/>
      <c r="R47"/>
      <c r="S47"/>
      <c r="T47"/>
    </row>
    <row r="48" spans="1:54">
      <c r="A48"/>
      <c r="B48"/>
      <c r="C48"/>
      <c r="D48"/>
      <c r="E48" s="10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</row>
    <row r="49" spans="1:54" ht="35.450000000000003" customHeight="1">
      <c r="A49"/>
      <c r="B49" t="s">
        <v>54</v>
      </c>
      <c r="C49" s="106" t="s">
        <v>158</v>
      </c>
      <c r="D49" s="55" t="s">
        <v>159</v>
      </c>
      <c r="E49" s="55" t="s">
        <v>160</v>
      </c>
      <c r="F49" s="55" t="s">
        <v>161</v>
      </c>
      <c r="G49" s="55" t="s">
        <v>162</v>
      </c>
      <c r="H49" s="55" t="s">
        <v>163</v>
      </c>
      <c r="I49" s="55" t="s">
        <v>164</v>
      </c>
      <c r="J49" s="55" t="s">
        <v>165</v>
      </c>
      <c r="K49" s="55" t="s">
        <v>166</v>
      </c>
      <c r="L49" s="55" t="s">
        <v>167</v>
      </c>
      <c r="M49" s="55" t="s">
        <v>168</v>
      </c>
      <c r="N49" s="55" t="s">
        <v>169</v>
      </c>
      <c r="O49" s="55" t="s">
        <v>170</v>
      </c>
      <c r="P49" s="55" t="s">
        <v>171</v>
      </c>
      <c r="Q49" s="55" t="s">
        <v>172</v>
      </c>
      <c r="R49" s="55" t="s">
        <v>173</v>
      </c>
      <c r="S49" s="55" t="s">
        <v>174</v>
      </c>
      <c r="T49" s="55" t="s">
        <v>175</v>
      </c>
      <c r="U49" s="55" t="s">
        <v>176</v>
      </c>
      <c r="V49" s="55" t="s">
        <v>177</v>
      </c>
      <c r="W49" s="55" t="s">
        <v>178</v>
      </c>
      <c r="X49" s="55" t="s">
        <v>179</v>
      </c>
      <c r="Y49" s="55" t="s">
        <v>180</v>
      </c>
      <c r="Z49" s="55" t="s">
        <v>181</v>
      </c>
      <c r="AA49" s="55" t="s">
        <v>182</v>
      </c>
      <c r="AB49" s="55" t="s">
        <v>183</v>
      </c>
      <c r="AC49" s="55" t="s">
        <v>184</v>
      </c>
      <c r="AD49" s="55" t="s">
        <v>185</v>
      </c>
      <c r="AE49" s="55" t="s">
        <v>186</v>
      </c>
      <c r="AF49" s="55" t="s">
        <v>187</v>
      </c>
      <c r="AG49" s="55" t="s">
        <v>188</v>
      </c>
      <c r="AH49" s="55" t="s">
        <v>189</v>
      </c>
      <c r="AI49" s="55" t="s">
        <v>190</v>
      </c>
      <c r="AJ49" s="55" t="s">
        <v>191</v>
      </c>
      <c r="AK49" s="55" t="s">
        <v>192</v>
      </c>
      <c r="AL49" s="55" t="s">
        <v>193</v>
      </c>
      <c r="AM49" s="55" t="s">
        <v>194</v>
      </c>
      <c r="AN49" s="55" t="s">
        <v>195</v>
      </c>
      <c r="AO49" s="55" t="s">
        <v>196</v>
      </c>
      <c r="AP49" s="55" t="s">
        <v>197</v>
      </c>
      <c r="AQ49" s="55" t="s">
        <v>198</v>
      </c>
      <c r="AR49" s="55" t="s">
        <v>199</v>
      </c>
      <c r="AS49" s="55" t="s">
        <v>200</v>
      </c>
      <c r="AT49" s="55" t="s">
        <v>201</v>
      </c>
      <c r="AU49" s="55" t="s">
        <v>202</v>
      </c>
      <c r="AV49" s="55" t="s">
        <v>203</v>
      </c>
      <c r="AW49" s="55" t="s">
        <v>204</v>
      </c>
      <c r="AX49" s="55" t="s">
        <v>205</v>
      </c>
      <c r="AY49" s="55" t="s">
        <v>206</v>
      </c>
      <c r="AZ49" s="55" t="s">
        <v>207</v>
      </c>
      <c r="BA49" s="55" t="s">
        <v>208</v>
      </c>
      <c r="BB49"/>
    </row>
    <row r="50" spans="1:54">
      <c r="A50"/>
      <c r="B50" s="34" t="s">
        <v>209</v>
      </c>
      <c r="C50" s="34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</row>
    <row r="51" spans="1:54">
      <c r="A51"/>
      <c r="B51" s="36" t="s">
        <v>210</v>
      </c>
      <c r="C51" s="36"/>
      <c r="D51" s="1">
        <v>0</v>
      </c>
      <c r="E51" s="17" cm="1">
        <f t="array" ref="E51">IF(ZmiOds="Inflacyjnie",Inf,0)</f>
        <v>0.03</v>
      </c>
      <c r="F51" s="17" cm="1">
        <f t="array" ref="F51">IF(ZmiOds="Inflacyjnie",Inf,0)</f>
        <v>0.03</v>
      </c>
      <c r="G51" s="17" cm="1">
        <f t="array" ref="G51">IF(ZmiOds="Inflacyjnie",Inf,0)</f>
        <v>0.03</v>
      </c>
      <c r="H51" s="17" cm="1">
        <f t="array" ref="H51">IF(ZmiOds="Inflacyjnie",Inf,0)</f>
        <v>0.03</v>
      </c>
      <c r="I51" s="17" cm="1">
        <f t="array" ref="I51">IF(ZmiOds="Inflacyjnie",Inf,0)</f>
        <v>0.03</v>
      </c>
      <c r="J51" s="17" cm="1">
        <f t="array" ref="J51">IF(ZmiOds="Inflacyjnie",Inf,0)</f>
        <v>0.03</v>
      </c>
      <c r="K51" s="17" cm="1">
        <f t="array" ref="K51">IF(ZmiOds="Inflacyjnie",Inf,0)</f>
        <v>0.03</v>
      </c>
      <c r="L51" s="17" cm="1">
        <f t="array" ref="L51">IF(ZmiOds="Inflacyjnie",Inf,0)</f>
        <v>0.03</v>
      </c>
      <c r="M51" s="17" cm="1">
        <f t="array" ref="M51">IF(ZmiOds="Inflacyjnie",Inf,0)</f>
        <v>0.03</v>
      </c>
      <c r="N51" s="17" cm="1">
        <f t="array" ref="N51">IF(ZmiOds="Inflacyjnie",Inf,0)</f>
        <v>0.03</v>
      </c>
      <c r="O51" s="17" cm="1">
        <f t="array" ref="O51">IF(ZmiOds="Inflacyjnie",Inf,0)</f>
        <v>0.03</v>
      </c>
      <c r="P51" s="17" cm="1">
        <f t="array" ref="P51">IF(ZmiOds="Inflacyjnie",Inf,0)</f>
        <v>0.03</v>
      </c>
      <c r="Q51" s="17" cm="1">
        <f t="array" ref="Q51">IF(ZmiOds="Inflacyjnie",Inf,0)</f>
        <v>0.03</v>
      </c>
      <c r="R51" s="17" cm="1">
        <f t="array" ref="R51">IF(ZmiOds="Inflacyjnie",Inf,0)</f>
        <v>0.03</v>
      </c>
      <c r="S51" s="17" cm="1">
        <f t="array" ref="S51">IF(ZmiOds="Inflacyjnie",Inf,0)</f>
        <v>0.03</v>
      </c>
      <c r="T51" s="17" cm="1">
        <f t="array" ref="T51">IF(ZmiOds="Inflacyjnie",Inf,0)</f>
        <v>0.03</v>
      </c>
      <c r="U51" s="17" cm="1">
        <f t="array" ref="U51">IF(ZmiOds="Inflacyjnie",Inf,0)</f>
        <v>0.03</v>
      </c>
      <c r="V51" s="17" cm="1">
        <f t="array" ref="V51">IF(ZmiOds="Inflacyjnie",Inf,0)</f>
        <v>0.03</v>
      </c>
      <c r="W51" s="17" cm="1">
        <f t="array" ref="W51">IF(ZmiOds="Inflacyjnie",Inf,0)</f>
        <v>0.03</v>
      </c>
      <c r="X51" s="17" cm="1">
        <f t="array" ref="X51">IF(ZmiOds="Inflacyjnie",Inf,0)</f>
        <v>0.03</v>
      </c>
      <c r="Y51" s="17" cm="1">
        <f t="array" ref="Y51">IF(ZmiOds="Inflacyjnie",Inf,0)</f>
        <v>0.03</v>
      </c>
      <c r="Z51" s="17" cm="1">
        <f t="array" ref="Z51">IF(ZmiOds="Inflacyjnie",Inf,0)</f>
        <v>0.03</v>
      </c>
      <c r="AA51" s="17" cm="1">
        <f t="array" ref="AA51">IF(ZmiOds="Inflacyjnie",Inf,0)</f>
        <v>0.03</v>
      </c>
      <c r="AB51" s="17" cm="1">
        <f t="array" ref="AB51">IF(ZmiOds="Inflacyjnie",Inf,0)</f>
        <v>0.03</v>
      </c>
      <c r="AC51" s="17" cm="1">
        <f t="array" ref="AC51">IF(ZmiOds="Inflacyjnie",Inf,0)</f>
        <v>0.03</v>
      </c>
      <c r="AD51" s="17" cm="1">
        <f t="array" ref="AD51">IF(ZmiOds="Inflacyjnie",Inf,0)</f>
        <v>0.03</v>
      </c>
      <c r="AE51" s="17" cm="1">
        <f t="array" ref="AE51">IF(ZmiOds="Inflacyjnie",Inf,0)</f>
        <v>0.03</v>
      </c>
      <c r="AF51" s="17" cm="1">
        <f t="array" ref="AF51">IF(ZmiOds="Inflacyjnie",Inf,0)</f>
        <v>0.03</v>
      </c>
      <c r="AG51" s="17" cm="1">
        <f t="array" ref="AG51">IF(ZmiOds="Inflacyjnie",Inf,0)</f>
        <v>0.03</v>
      </c>
      <c r="AH51" s="17" cm="1">
        <f t="array" ref="AH51">IF(ZmiOds="Inflacyjnie",Inf,0)</f>
        <v>0.03</v>
      </c>
      <c r="AI51" s="17" cm="1">
        <f t="array" ref="AI51">IF(ZmiOds="Inflacyjnie",Inf,0)</f>
        <v>0.03</v>
      </c>
      <c r="AJ51" s="17" cm="1">
        <f t="array" ref="AJ51">IF(ZmiOds="Inflacyjnie",Inf,0)</f>
        <v>0.03</v>
      </c>
      <c r="AK51" s="17" cm="1">
        <f t="array" ref="AK51">IF(ZmiOds="Inflacyjnie",Inf,0)</f>
        <v>0.03</v>
      </c>
      <c r="AL51" s="17" cm="1">
        <f t="array" ref="AL51">IF(ZmiOds="Inflacyjnie",Inf,0)</f>
        <v>0.03</v>
      </c>
      <c r="AM51" s="17" cm="1">
        <f t="array" ref="AM51">IF(ZmiOds="Inflacyjnie",Inf,0)</f>
        <v>0.03</v>
      </c>
      <c r="AN51" s="17" cm="1">
        <f t="array" ref="AN51">IF(ZmiOds="Inflacyjnie",Inf,0)</f>
        <v>0.03</v>
      </c>
      <c r="AO51" s="17" cm="1">
        <f t="array" ref="AO51">IF(ZmiOds="Inflacyjnie",Inf,0)</f>
        <v>0.03</v>
      </c>
      <c r="AP51" s="17" cm="1">
        <f t="array" ref="AP51">IF(ZmiOds="Inflacyjnie",Inf,0)</f>
        <v>0.03</v>
      </c>
      <c r="AQ51" s="17" cm="1">
        <f t="array" ref="AQ51">IF(ZmiOds="Inflacyjnie",Inf,0)</f>
        <v>0.03</v>
      </c>
      <c r="AR51" s="17" cm="1">
        <f t="array" ref="AR51">IF(ZmiOds="Inflacyjnie",Inf,0)</f>
        <v>0.03</v>
      </c>
      <c r="AS51" s="17" cm="1">
        <f t="array" ref="AS51">IF(ZmiOds="Inflacyjnie",Inf,0)</f>
        <v>0.03</v>
      </c>
      <c r="AT51" s="17" cm="1">
        <f t="array" ref="AT51">IF(ZmiOds="Inflacyjnie",Inf,0)</f>
        <v>0.03</v>
      </c>
      <c r="AU51" s="17" cm="1">
        <f t="array" ref="AU51">IF(ZmiOds="Inflacyjnie",Inf,0)</f>
        <v>0.03</v>
      </c>
      <c r="AV51" s="17" cm="1">
        <f t="array" ref="AV51">IF(ZmiOds="Inflacyjnie",Inf,0)</f>
        <v>0.03</v>
      </c>
      <c r="AW51" s="17" cm="1">
        <f t="array" ref="AW51">IF(ZmiOds="Inflacyjnie",Inf,0)</f>
        <v>0.03</v>
      </c>
      <c r="AX51" s="17" cm="1">
        <f t="array" ref="AX51">IF(ZmiOds="Inflacyjnie",Inf,0)</f>
        <v>0.03</v>
      </c>
      <c r="AY51" s="17" cm="1">
        <f t="array" ref="AY51">IF(ZmiOds="Inflacyjnie",Inf,0)</f>
        <v>0.03</v>
      </c>
      <c r="AZ51" s="17" cm="1">
        <f t="array" ref="AZ51">IF(ZmiOds="Inflacyjnie",Inf,0)</f>
        <v>0.03</v>
      </c>
      <c r="BA51" s="17" cm="1">
        <f t="array" ref="BA51">IF(ZmiOds="Inflacyjnie",Inf,0)</f>
        <v>0.03</v>
      </c>
      <c r="BB51"/>
    </row>
    <row r="52" spans="1:54">
      <c r="A52"/>
      <c r="B52" s="36" t="s">
        <v>211</v>
      </c>
      <c r="C52" s="36"/>
      <c r="D52" s="1">
        <v>0</v>
      </c>
      <c r="E52" s="17" cm="1">
        <f t="array" ref="E52">ProcZmi</f>
        <v>0.04</v>
      </c>
      <c r="F52" s="17" cm="1">
        <f t="array" ref="F52">ProcZmi</f>
        <v>0.04</v>
      </c>
      <c r="G52" s="17" cm="1">
        <f t="array" ref="G52">ProcZmi</f>
        <v>0.04</v>
      </c>
      <c r="H52" s="17" cm="1">
        <f t="array" ref="H52">ProcZmi</f>
        <v>0.04</v>
      </c>
      <c r="I52" s="17" cm="1">
        <f t="array" ref="I52">ProcZmi</f>
        <v>0.04</v>
      </c>
      <c r="J52" s="17" cm="1">
        <f t="array" ref="J52">ProcZmi</f>
        <v>0.04</v>
      </c>
      <c r="K52" s="17" cm="1">
        <f t="array" ref="K52">ProcZmi</f>
        <v>0.04</v>
      </c>
      <c r="L52" s="17" cm="1">
        <f t="array" ref="L52">ProcZmi</f>
        <v>0.04</v>
      </c>
      <c r="M52" s="17" cm="1">
        <f t="array" ref="M52">ProcZmi</f>
        <v>0.04</v>
      </c>
      <c r="N52" s="17" cm="1">
        <f t="array" ref="N52">ProcZmi</f>
        <v>0.04</v>
      </c>
      <c r="O52" s="17" cm="1">
        <f t="array" ref="O52">ProcZmi</f>
        <v>0.04</v>
      </c>
      <c r="P52" s="17" cm="1">
        <f t="array" ref="P52">ProcZmi</f>
        <v>0.04</v>
      </c>
      <c r="Q52" s="17" cm="1">
        <f t="array" ref="Q52">ProcZmi</f>
        <v>0.04</v>
      </c>
      <c r="R52" s="17" cm="1">
        <f t="array" ref="R52">ProcZmi</f>
        <v>0.04</v>
      </c>
      <c r="S52" s="17" cm="1">
        <f t="array" ref="S52">ProcZmi</f>
        <v>0.04</v>
      </c>
      <c r="T52" s="17" cm="1">
        <f t="array" ref="T52">ProcZmi</f>
        <v>0.04</v>
      </c>
      <c r="U52" s="17" cm="1">
        <f t="array" ref="U52">ProcZmi</f>
        <v>0.04</v>
      </c>
      <c r="V52" s="17" cm="1">
        <f t="array" ref="V52">ProcZmi</f>
        <v>0.04</v>
      </c>
      <c r="W52" s="17" cm="1">
        <f t="array" ref="W52">ProcZmi</f>
        <v>0.04</v>
      </c>
      <c r="X52" s="17" cm="1">
        <f t="array" ref="X52">ProcZmi</f>
        <v>0.04</v>
      </c>
      <c r="Y52" s="17" cm="1">
        <f t="array" ref="Y52">ProcZmi</f>
        <v>0.04</v>
      </c>
      <c r="Z52" s="17" cm="1">
        <f t="array" ref="Z52">ProcZmi</f>
        <v>0.04</v>
      </c>
      <c r="AA52" s="17" cm="1">
        <f t="array" ref="AA52">ProcZmi</f>
        <v>0.04</v>
      </c>
      <c r="AB52" s="17" cm="1">
        <f t="array" ref="AB52">ProcZmi</f>
        <v>0.04</v>
      </c>
      <c r="AC52" s="17" cm="1">
        <f t="array" ref="AC52">ProcZmi</f>
        <v>0.04</v>
      </c>
      <c r="AD52" s="17" cm="1">
        <f t="array" ref="AD52">ProcZmi</f>
        <v>0.04</v>
      </c>
      <c r="AE52" s="17" cm="1">
        <f t="array" ref="AE52">ProcZmi</f>
        <v>0.04</v>
      </c>
      <c r="AF52" s="17" cm="1">
        <f t="array" ref="AF52">ProcZmi</f>
        <v>0.04</v>
      </c>
      <c r="AG52" s="17" cm="1">
        <f t="array" ref="AG52">ProcZmi</f>
        <v>0.04</v>
      </c>
      <c r="AH52" s="17" cm="1">
        <f t="array" ref="AH52">ProcZmi</f>
        <v>0.04</v>
      </c>
      <c r="AI52" s="17" cm="1">
        <f t="array" ref="AI52">ProcZmi</f>
        <v>0.04</v>
      </c>
      <c r="AJ52" s="17" cm="1">
        <f t="array" ref="AJ52">ProcZmi</f>
        <v>0.04</v>
      </c>
      <c r="AK52" s="17" cm="1">
        <f t="array" ref="AK52">ProcZmi</f>
        <v>0.04</v>
      </c>
      <c r="AL52" s="17" cm="1">
        <f t="array" ref="AL52">ProcZmi</f>
        <v>0.04</v>
      </c>
      <c r="AM52" s="17" cm="1">
        <f t="array" ref="AM52">ProcZmi</f>
        <v>0.04</v>
      </c>
      <c r="AN52" s="17" cm="1">
        <f t="array" ref="AN52">ProcZmi</f>
        <v>0.04</v>
      </c>
      <c r="AO52" s="17" cm="1">
        <f t="array" ref="AO52">ProcZmi</f>
        <v>0.04</v>
      </c>
      <c r="AP52" s="17" cm="1">
        <f t="array" ref="AP52">ProcZmi</f>
        <v>0.04</v>
      </c>
      <c r="AQ52" s="17" cm="1">
        <f t="array" ref="AQ52">ProcZmi</f>
        <v>0.04</v>
      </c>
      <c r="AR52" s="17" cm="1">
        <f t="array" ref="AR52">ProcZmi</f>
        <v>0.04</v>
      </c>
      <c r="AS52" s="17" cm="1">
        <f t="array" ref="AS52">ProcZmi</f>
        <v>0.04</v>
      </c>
      <c r="AT52" s="17" cm="1">
        <f t="array" ref="AT52">ProcZmi</f>
        <v>0.04</v>
      </c>
      <c r="AU52" s="17" cm="1">
        <f t="array" ref="AU52">ProcZmi</f>
        <v>0.04</v>
      </c>
      <c r="AV52" s="17" cm="1">
        <f t="array" ref="AV52">ProcZmi</f>
        <v>0.04</v>
      </c>
      <c r="AW52" s="17" cm="1">
        <f t="array" ref="AW52">ProcZmi</f>
        <v>0.04</v>
      </c>
      <c r="AX52" s="17" cm="1">
        <f t="array" ref="AX52">ProcZmi</f>
        <v>0.04</v>
      </c>
      <c r="AY52" s="17" cm="1">
        <f t="array" ref="AY52">ProcZmi</f>
        <v>0.04</v>
      </c>
      <c r="AZ52" s="17" cm="1">
        <f t="array" ref="AZ52">ProcZmi</f>
        <v>0.04</v>
      </c>
      <c r="BA52" s="17" cm="1">
        <f t="array" ref="BA52">ProcZmi</f>
        <v>0.04</v>
      </c>
      <c r="BB52"/>
    </row>
    <row r="53" spans="1:54">
      <c r="A53"/>
      <c r="B53" s="36" t="s">
        <v>121</v>
      </c>
      <c r="C53" s="36"/>
      <c r="D53" s="3">
        <v>0</v>
      </c>
      <c r="E53" s="3" cm="1">
        <f t="array" ref="E53">KwoZmi</f>
        <v>150</v>
      </c>
      <c r="F53" s="3" cm="1">
        <f t="array" ref="F53">KwoZmi</f>
        <v>150</v>
      </c>
      <c r="G53" s="3" cm="1">
        <f t="array" ref="G53">KwoZmi</f>
        <v>150</v>
      </c>
      <c r="H53" s="3" cm="1">
        <f t="array" ref="H53">KwoZmi</f>
        <v>150</v>
      </c>
      <c r="I53" s="3" cm="1">
        <f t="array" ref="I53">KwoZmi</f>
        <v>150</v>
      </c>
      <c r="J53" s="3" cm="1">
        <f t="array" ref="J53">KwoZmi</f>
        <v>150</v>
      </c>
      <c r="K53" s="3" cm="1">
        <f t="array" ref="K53">KwoZmi</f>
        <v>150</v>
      </c>
      <c r="L53" s="3" cm="1">
        <f t="array" ref="L53">KwoZmi</f>
        <v>150</v>
      </c>
      <c r="M53" s="3" cm="1">
        <f t="array" ref="M53">KwoZmi</f>
        <v>150</v>
      </c>
      <c r="N53" s="3" cm="1">
        <f t="array" ref="N53">KwoZmi</f>
        <v>150</v>
      </c>
      <c r="O53" s="3" cm="1">
        <f t="array" ref="O53">KwoZmi</f>
        <v>150</v>
      </c>
      <c r="P53" s="3" cm="1">
        <f t="array" ref="P53">KwoZmi</f>
        <v>150</v>
      </c>
      <c r="Q53" s="3" cm="1">
        <f t="array" ref="Q53">KwoZmi</f>
        <v>150</v>
      </c>
      <c r="R53" s="3" cm="1">
        <f t="array" ref="R53">KwoZmi</f>
        <v>150</v>
      </c>
      <c r="S53" s="3" cm="1">
        <f t="array" ref="S53">KwoZmi</f>
        <v>150</v>
      </c>
      <c r="T53" s="3" cm="1">
        <f t="array" ref="T53">KwoZmi</f>
        <v>150</v>
      </c>
      <c r="U53" s="3" cm="1">
        <f t="array" ref="U53">KwoZmi</f>
        <v>150</v>
      </c>
      <c r="V53" s="3" cm="1">
        <f t="array" ref="V53">KwoZmi</f>
        <v>150</v>
      </c>
      <c r="W53" s="3" cm="1">
        <f t="array" ref="W53">KwoZmi</f>
        <v>150</v>
      </c>
      <c r="X53" s="3" cm="1">
        <f t="array" ref="X53">KwoZmi</f>
        <v>150</v>
      </c>
      <c r="Y53" s="3" cm="1">
        <f t="array" ref="Y53">KwoZmi</f>
        <v>150</v>
      </c>
      <c r="Z53" s="3" cm="1">
        <f t="array" ref="Z53">KwoZmi</f>
        <v>150</v>
      </c>
      <c r="AA53" s="3" cm="1">
        <f t="array" ref="AA53">KwoZmi</f>
        <v>150</v>
      </c>
      <c r="AB53" s="3" cm="1">
        <f t="array" ref="AB53">KwoZmi</f>
        <v>150</v>
      </c>
      <c r="AC53" s="3" cm="1">
        <f t="array" ref="AC53">KwoZmi</f>
        <v>150</v>
      </c>
      <c r="AD53" s="3" cm="1">
        <f t="array" ref="AD53">KwoZmi</f>
        <v>150</v>
      </c>
      <c r="AE53" s="3" cm="1">
        <f t="array" ref="AE53">KwoZmi</f>
        <v>150</v>
      </c>
      <c r="AF53" s="3" cm="1">
        <f t="array" ref="AF53">KwoZmi</f>
        <v>150</v>
      </c>
      <c r="AG53" s="3" cm="1">
        <f t="array" ref="AG53">KwoZmi</f>
        <v>150</v>
      </c>
      <c r="AH53" s="3" cm="1">
        <f t="array" ref="AH53">KwoZmi</f>
        <v>150</v>
      </c>
      <c r="AI53" s="3" cm="1">
        <f t="array" ref="AI53">KwoZmi</f>
        <v>150</v>
      </c>
      <c r="AJ53" s="3" cm="1">
        <f t="array" ref="AJ53">KwoZmi</f>
        <v>150</v>
      </c>
      <c r="AK53" s="3" cm="1">
        <f t="array" ref="AK53">KwoZmi</f>
        <v>150</v>
      </c>
      <c r="AL53" s="3" cm="1">
        <f t="array" ref="AL53">KwoZmi</f>
        <v>150</v>
      </c>
      <c r="AM53" s="3" cm="1">
        <f t="array" ref="AM53">KwoZmi</f>
        <v>150</v>
      </c>
      <c r="AN53" s="3" cm="1">
        <f t="array" ref="AN53">KwoZmi</f>
        <v>150</v>
      </c>
      <c r="AO53" s="3" cm="1">
        <f t="array" ref="AO53">KwoZmi</f>
        <v>150</v>
      </c>
      <c r="AP53" s="3" cm="1">
        <f t="array" ref="AP53">KwoZmi</f>
        <v>150</v>
      </c>
      <c r="AQ53" s="3" cm="1">
        <f t="array" ref="AQ53">KwoZmi</f>
        <v>150</v>
      </c>
      <c r="AR53" s="3" cm="1">
        <f t="array" ref="AR53">KwoZmi</f>
        <v>150</v>
      </c>
      <c r="AS53" s="3" cm="1">
        <f t="array" ref="AS53">KwoZmi</f>
        <v>150</v>
      </c>
      <c r="AT53" s="3" cm="1">
        <f t="array" ref="AT53">KwoZmi</f>
        <v>150</v>
      </c>
      <c r="AU53" s="3" cm="1">
        <f t="array" ref="AU53">KwoZmi</f>
        <v>150</v>
      </c>
      <c r="AV53" s="3" cm="1">
        <f t="array" ref="AV53">KwoZmi</f>
        <v>150</v>
      </c>
      <c r="AW53" s="3" cm="1">
        <f t="array" ref="AW53">KwoZmi</f>
        <v>150</v>
      </c>
      <c r="AX53" s="3" cm="1">
        <f t="array" ref="AX53">KwoZmi</f>
        <v>150</v>
      </c>
      <c r="AY53" s="3" cm="1">
        <f t="array" ref="AY53">KwoZmi</f>
        <v>150</v>
      </c>
      <c r="AZ53" s="3" cm="1">
        <f t="array" ref="AZ53">KwoZmi</f>
        <v>150</v>
      </c>
      <c r="BA53" s="3" cm="1">
        <f t="array" ref="BA53">KwoZmi</f>
        <v>150</v>
      </c>
      <c r="BB53"/>
    </row>
    <row r="54" spans="1:54">
      <c r="A54"/>
      <c r="B54" s="36" t="s">
        <v>212</v>
      </c>
      <c r="C54" s="36"/>
      <c r="D54" s="4" cm="1">
        <f t="array" ref="D54">Ods</f>
        <v>3200</v>
      </c>
      <c r="E54" s="4" cm="1">
        <f t="array" ref="E54">IF(ZmiOds="bez zmian",'Wynik '!D54,IF(ZmiOds="inflacyjnie",'Wynik '!D54*(1+'Wynik '!E51),IF(ZmiOds="stały %",'Wynik '!D54*(1+'Wynik '!E52),IF(ZmiOds="stała kwota",'Wynik '!D54+'Wynik '!E53,'Wynik '!D54))))</f>
        <v>3296</v>
      </c>
      <c r="F54" s="4" cm="1">
        <f t="array" ref="F54">IF(ZmiOds="bez zmian",'Wynik '!E54,IF(ZmiOds="inflacyjnie",'Wynik '!E54*(1+'Wynik '!F51),IF(ZmiOds="stały %",'Wynik '!E54*(1+'Wynik '!F52),IF(ZmiOds="stała kwota",'Wynik '!E54+'Wynik '!F53,'Wynik '!E54))))</f>
        <v>3394.88</v>
      </c>
      <c r="G54" s="4" cm="1">
        <f t="array" ref="G54">IF(ZmiOds="bez zmian",'Wynik '!F54,IF(ZmiOds="inflacyjnie",'Wynik '!F54*(1+'Wynik '!G51),IF(ZmiOds="stały %",'Wynik '!F54*(1+'Wynik '!G52),IF(ZmiOds="stała kwota",'Wynik '!F54+'Wynik '!G53,'Wynik '!F54))))</f>
        <v>3496.7264</v>
      </c>
      <c r="H54" s="4" cm="1">
        <f t="array" ref="H54">IF(ZmiOds="bez zmian",'Wynik '!G54,IF(ZmiOds="inflacyjnie",'Wynik '!G54*(1+'Wynik '!H51),IF(ZmiOds="stały %",'Wynik '!G54*(1+'Wynik '!H52),IF(ZmiOds="stała kwota",'Wynik '!G54+'Wynik '!H53,'Wynik '!G54))))</f>
        <v>3601.6281920000001</v>
      </c>
      <c r="I54" s="4" cm="1">
        <f t="array" ref="I54">IF(ZmiOds="bez zmian",'Wynik '!H54,IF(ZmiOds="inflacyjnie",'Wynik '!H54*(1+'Wynik '!I51),IF(ZmiOds="stały %",'Wynik '!H54*(1+'Wynik '!I52),IF(ZmiOds="stała kwota",'Wynik '!H54+'Wynik '!I53,'Wynik '!H54))))</f>
        <v>3709.6770377600001</v>
      </c>
      <c r="J54" s="4" cm="1">
        <f t="array" ref="J54">IF(ZmiOds="bez zmian",'Wynik '!I54,IF(ZmiOds="inflacyjnie",'Wynik '!I54*(1+'Wynik '!J51),IF(ZmiOds="stały %",'Wynik '!I54*(1+'Wynik '!J52),IF(ZmiOds="stała kwota",'Wynik '!I54+'Wynik '!J53,'Wynik '!I54))))</f>
        <v>3820.9673488928001</v>
      </c>
      <c r="K54" s="4" cm="1">
        <f t="array" ref="K54">IF(ZmiOds="bez zmian",'Wynik '!J54,IF(ZmiOds="inflacyjnie",'Wynik '!J54*(1+'Wynik '!K51),IF(ZmiOds="stały %",'Wynik '!J54*(1+'Wynik '!K52),IF(ZmiOds="stała kwota",'Wynik '!J54+'Wynik '!K53,'Wynik '!J54))))</f>
        <v>3935.5963693595841</v>
      </c>
      <c r="L54" s="4" cm="1">
        <f t="array" ref="L54">IF(ZmiOds="bez zmian",'Wynik '!K54,IF(ZmiOds="inflacyjnie",'Wynik '!K54*(1+'Wynik '!L51),IF(ZmiOds="stały %",'Wynik '!K54*(1+'Wynik '!L52),IF(ZmiOds="stała kwota",'Wynik '!K54+'Wynik '!L53,'Wynik '!K54))))</f>
        <v>4053.6642604403719</v>
      </c>
      <c r="M54" s="4" cm="1">
        <f t="array" ref="M54">IF(ZmiOds="bez zmian",'Wynik '!L54,IF(ZmiOds="inflacyjnie",'Wynik '!L54*(1+'Wynik '!M51),IF(ZmiOds="stały %",'Wynik '!L54*(1+'Wynik '!M52),IF(ZmiOds="stała kwota",'Wynik '!L54+'Wynik '!M53,'Wynik '!L54))))</f>
        <v>4175.2741882535829</v>
      </c>
      <c r="N54" s="4" cm="1">
        <f t="array" ref="N54">IF(ZmiOds="bez zmian",'Wynik '!M54,IF(ZmiOds="inflacyjnie",'Wynik '!M54*(1+'Wynik '!N51),IF(ZmiOds="stały %",'Wynik '!M54*(1+'Wynik '!N52),IF(ZmiOds="stała kwota",'Wynik '!M54+'Wynik '!N53,'Wynik '!M54))))</f>
        <v>4300.5324139011909</v>
      </c>
      <c r="O54" s="4" cm="1">
        <f t="array" ref="O54">IF(ZmiOds="bez zmian",'Wynik '!N54,IF(ZmiOds="inflacyjnie",'Wynik '!N54*(1+'Wynik '!O51),IF(ZmiOds="stały %",'Wynik '!N54*(1+'Wynik '!O52),IF(ZmiOds="stała kwota",'Wynik '!N54+'Wynik '!O53,'Wynik '!N54))))</f>
        <v>4429.5483863182271</v>
      </c>
      <c r="P54" s="4" cm="1">
        <f t="array" ref="P54">IF(ZmiOds="bez zmian",'Wynik '!O54,IF(ZmiOds="inflacyjnie",'Wynik '!O54*(1+'Wynik '!P51),IF(ZmiOds="stały %",'Wynik '!O54*(1+'Wynik '!P52),IF(ZmiOds="stała kwota",'Wynik '!O54+'Wynik '!P53,'Wynik '!O54))))</f>
        <v>4562.4348379077737</v>
      </c>
      <c r="Q54" s="4" cm="1">
        <f t="array" ref="Q54">IF(ZmiOds="bez zmian",'Wynik '!P54,IF(ZmiOds="inflacyjnie",'Wynik '!P54*(1+'Wynik '!Q51),IF(ZmiOds="stały %",'Wynik '!P54*(1+'Wynik '!Q52),IF(ZmiOds="stała kwota",'Wynik '!P54+'Wynik '!Q53,'Wynik '!P54))))</f>
        <v>4699.3078830450067</v>
      </c>
      <c r="R54" s="4" cm="1">
        <f t="array" ref="R54">IF(ZmiOds="bez zmian",'Wynik '!Q54,IF(ZmiOds="inflacyjnie",'Wynik '!Q54*(1+'Wynik '!R51),IF(ZmiOds="stały %",'Wynik '!Q54*(1+'Wynik '!R52),IF(ZmiOds="stała kwota",'Wynik '!Q54+'Wynik '!R53,'Wynik '!Q54))))</f>
        <v>4840.2871195363568</v>
      </c>
      <c r="S54" s="4" cm="1">
        <f t="array" ref="S54">IF(ZmiOds="bez zmian",'Wynik '!R54,IF(ZmiOds="inflacyjnie",'Wynik '!R54*(1+'Wynik '!S51),IF(ZmiOds="stały %",'Wynik '!R54*(1+'Wynik '!S52),IF(ZmiOds="stała kwota",'Wynik '!R54+'Wynik '!S53,'Wynik '!R54))))</f>
        <v>4985.4957331224477</v>
      </c>
      <c r="T54" s="4" cm="1">
        <f t="array" ref="T54">IF(ZmiOds="bez zmian",'Wynik '!S54,IF(ZmiOds="inflacyjnie",'Wynik '!S54*(1+'Wynik '!T51),IF(ZmiOds="stały %",'Wynik '!S54*(1+'Wynik '!T52),IF(ZmiOds="stała kwota",'Wynik '!S54+'Wynik '!T53,'Wynik '!S54))))</f>
        <v>5135.0606051161212</v>
      </c>
      <c r="U54" s="4" cm="1">
        <f t="array" ref="U54">IF(ZmiOds="bez zmian",'Wynik '!T54,IF(ZmiOds="inflacyjnie",'Wynik '!T54*(1+'Wynik '!U51),IF(ZmiOds="stały %",'Wynik '!T54*(1+'Wynik '!U52),IF(ZmiOds="stała kwota",'Wynik '!T54+'Wynik '!U53,'Wynik '!T54))))</f>
        <v>5289.1124232696047</v>
      </c>
      <c r="V54" s="4" cm="1">
        <f t="array" ref="V54">IF(ZmiOds="bez zmian",'Wynik '!U54,IF(ZmiOds="inflacyjnie",'Wynik '!U54*(1+'Wynik '!V51),IF(ZmiOds="stały %",'Wynik '!U54*(1+'Wynik '!V52),IF(ZmiOds="stała kwota",'Wynik '!U54+'Wynik '!V53,'Wynik '!U54))))</f>
        <v>5447.785795967693</v>
      </c>
      <c r="W54" s="4" cm="1">
        <f t="array" ref="W54">IF(ZmiOds="bez zmian",'Wynik '!V54,IF(ZmiOds="inflacyjnie",'Wynik '!V54*(1+'Wynik '!W51),IF(ZmiOds="stały %",'Wynik '!V54*(1+'Wynik '!W52),IF(ZmiOds="stała kwota",'Wynik '!V54+'Wynik '!W53,'Wynik '!V54))))</f>
        <v>5611.2193698467236</v>
      </c>
      <c r="X54" s="4" cm="1">
        <f t="array" ref="X54">IF(ZmiOds="bez zmian",'Wynik '!W54,IF(ZmiOds="inflacyjnie",'Wynik '!W54*(1+'Wynik '!X51),IF(ZmiOds="stały %",'Wynik '!W54*(1+'Wynik '!X52),IF(ZmiOds="stała kwota",'Wynik '!W54+'Wynik '!X53,'Wynik '!W54))))</f>
        <v>5779.5559509421255</v>
      </c>
      <c r="Y54" s="4" cm="1">
        <f t="array" ref="Y54">IF(ZmiOds="bez zmian",'Wynik '!X54,IF(ZmiOds="inflacyjnie",'Wynik '!X54*(1+'Wynik '!Y51),IF(ZmiOds="stały %",'Wynik '!X54*(1+'Wynik '!Y52),IF(ZmiOds="stała kwota",'Wynik '!X54+'Wynik '!Y53,'Wynik '!X54))))</f>
        <v>5952.942629470389</v>
      </c>
      <c r="Z54" s="4" cm="1">
        <f t="array" ref="Z54">IF(ZmiOds="bez zmian",'Wynik '!Y54,IF(ZmiOds="inflacyjnie",'Wynik '!Y54*(1+'Wynik '!Z51),IF(ZmiOds="stały %",'Wynik '!Y54*(1+'Wynik '!Z52),IF(ZmiOds="stała kwota",'Wynik '!Y54+'Wynik '!Z53,'Wynik '!Y54))))</f>
        <v>6131.5309083545008</v>
      </c>
      <c r="AA54" s="4" cm="1">
        <f t="array" ref="AA54">IF(ZmiOds="bez zmian",'Wynik '!Z54,IF(ZmiOds="inflacyjnie",'Wynik '!Z54*(1+'Wynik '!AA51),IF(ZmiOds="stały %",'Wynik '!Z54*(1+'Wynik '!AA52),IF(ZmiOds="stała kwota",'Wynik '!Z54+'Wynik '!AA53,'Wynik '!Z54))))</f>
        <v>6315.4768356051363</v>
      </c>
      <c r="AB54" s="4" cm="1">
        <f t="array" ref="AB54">IF(ZmiOds="bez zmian",'Wynik '!AA54,IF(ZmiOds="inflacyjnie",'Wynik '!AA54*(1+'Wynik '!AB51),IF(ZmiOds="stały %",'Wynik '!AA54*(1+'Wynik '!AB52),IF(ZmiOds="stała kwota",'Wynik '!AA54+'Wynik '!AB53,'Wynik '!AA54))))</f>
        <v>6504.9411406732906</v>
      </c>
      <c r="AC54" s="4" cm="1">
        <f t="array" ref="AC54">IF(ZmiOds="bez zmian",'Wynik '!AB54,IF(ZmiOds="inflacyjnie",'Wynik '!AB54*(1+'Wynik '!AC51),IF(ZmiOds="stały %",'Wynik '!AB54*(1+'Wynik '!AC52),IF(ZmiOds="stała kwota",'Wynik '!AB54+'Wynik '!AC53,'Wynik '!AB54))))</f>
        <v>6700.0893748934895</v>
      </c>
      <c r="AD54" s="4" cm="1">
        <f t="array" ref="AD54">IF(ZmiOds="bez zmian",'Wynik '!AC54,IF(ZmiOds="inflacyjnie",'Wynik '!AC54*(1+'Wynik '!AD51),IF(ZmiOds="stały %",'Wynik '!AC54*(1+'Wynik '!AD52),IF(ZmiOds="stała kwota",'Wynik '!AC54+'Wynik '!AD53,'Wynik '!AC54))))</f>
        <v>6901.0920561402945</v>
      </c>
      <c r="AE54" s="4" cm="1">
        <f t="array" ref="AE54">IF(ZmiOds="bez zmian",'Wynik '!AD54,IF(ZmiOds="inflacyjnie",'Wynik '!AD54*(1+'Wynik '!AE51),IF(ZmiOds="stały %",'Wynik '!AD54*(1+'Wynik '!AE52),IF(ZmiOds="stała kwota",'Wynik '!AD54+'Wynik '!AE53,'Wynik '!AD54))))</f>
        <v>7108.1248178245032</v>
      </c>
      <c r="AF54" s="4" cm="1">
        <f t="array" ref="AF54">IF(ZmiOds="bez zmian",'Wynik '!AE54,IF(ZmiOds="inflacyjnie",'Wynik '!AE54*(1+'Wynik '!AF51),IF(ZmiOds="stały %",'Wynik '!AE54*(1+'Wynik '!AF52),IF(ZmiOds="stała kwota",'Wynik '!AE54+'Wynik '!AF53,'Wynik '!AE54))))</f>
        <v>7321.3685623592382</v>
      </c>
      <c r="AG54" s="4" cm="1">
        <f t="array" ref="AG54">IF(ZmiOds="bez zmian",'Wynik '!AF54,IF(ZmiOds="inflacyjnie",'Wynik '!AF54*(1+'Wynik '!AG51),IF(ZmiOds="stały %",'Wynik '!AF54*(1+'Wynik '!AG52),IF(ZmiOds="stała kwota",'Wynik '!AF54+'Wynik '!AG53,'Wynik '!AF54))))</f>
        <v>7541.0096192300152</v>
      </c>
      <c r="AH54" s="4" cm="1">
        <f t="array" ref="AH54">IF(ZmiOds="bez zmian",'Wynik '!AG54,IF(ZmiOds="inflacyjnie",'Wynik '!AG54*(1+'Wynik '!AH51),IF(ZmiOds="stały %",'Wynik '!AG54*(1+'Wynik '!AH52),IF(ZmiOds="stała kwota",'Wynik '!AG54+'Wynik '!AH53,'Wynik '!AG54))))</f>
        <v>7767.2399078069157</v>
      </c>
      <c r="AI54" s="4" cm="1">
        <f t="array" ref="AI54">IF(ZmiOds="bez zmian",'Wynik '!AH54,IF(ZmiOds="inflacyjnie",'Wynik '!AH54*(1+'Wynik '!AI51),IF(ZmiOds="stały %",'Wynik '!AH54*(1+'Wynik '!AI52),IF(ZmiOds="stała kwota",'Wynik '!AH54+'Wynik '!AI53,'Wynik '!AH54))))</f>
        <v>8000.2571050411234</v>
      </c>
      <c r="AJ54" s="4" cm="1">
        <f t="array" ref="AJ54">IF(ZmiOds="bez zmian",'Wynik '!AI54,IF(ZmiOds="inflacyjnie",'Wynik '!AI54*(1+'Wynik '!AJ51),IF(ZmiOds="stały %",'Wynik '!AI54*(1+'Wynik '!AJ52),IF(ZmiOds="stała kwota",'Wynik '!AI54+'Wynik '!AJ53,'Wynik '!AI54))))</f>
        <v>8240.2648181923578</v>
      </c>
      <c r="AK54" s="4" cm="1">
        <f t="array" ref="AK54">IF(ZmiOds="bez zmian",'Wynik '!AJ54,IF(ZmiOds="inflacyjnie",'Wynik '!AJ54*(1+'Wynik '!AK51),IF(ZmiOds="stały %",'Wynik '!AJ54*(1+'Wynik '!AK52),IF(ZmiOds="stała kwota",'Wynik '!AJ54+'Wynik '!AK53,'Wynik '!AJ54))))</f>
        <v>8487.4727627381289</v>
      </c>
      <c r="AL54" s="4" cm="1">
        <f t="array" ref="AL54">IF(ZmiOds="bez zmian",'Wynik '!AK54,IF(ZmiOds="inflacyjnie",'Wynik '!AK54*(1+'Wynik '!AL51),IF(ZmiOds="stały %",'Wynik '!AK54*(1+'Wynik '!AL52),IF(ZmiOds="stała kwota",'Wynik '!AK54+'Wynik '!AL53,'Wynik '!AK54))))</f>
        <v>8742.0969456202729</v>
      </c>
      <c r="AM54" s="4" cm="1">
        <f t="array" ref="AM54">IF(ZmiOds="bez zmian",'Wynik '!AL54,IF(ZmiOds="inflacyjnie",'Wynik '!AL54*(1+'Wynik '!AM51),IF(ZmiOds="stały %",'Wynik '!AL54*(1+'Wynik '!AM52),IF(ZmiOds="stała kwota",'Wynik '!AL54+'Wynik '!AM53,'Wynik '!AL54))))</f>
        <v>9004.3598539888808</v>
      </c>
      <c r="AN54" s="4" cm="1">
        <f t="array" ref="AN54">IF(ZmiOds="bez zmian",'Wynik '!AM54,IF(ZmiOds="inflacyjnie",'Wynik '!AM54*(1+'Wynik '!AN51),IF(ZmiOds="stały %",'Wynik '!AM54*(1+'Wynik '!AN52),IF(ZmiOds="stała kwota",'Wynik '!AM54+'Wynik '!AN53,'Wynik '!AM54))))</f>
        <v>9274.4906496085478</v>
      </c>
      <c r="AO54" s="4" cm="1">
        <f t="array" ref="AO54">IF(ZmiOds="bez zmian",'Wynik '!AN54,IF(ZmiOds="inflacyjnie",'Wynik '!AN54*(1+'Wynik '!AO51),IF(ZmiOds="stały %",'Wynik '!AN54*(1+'Wynik '!AO52),IF(ZmiOds="stała kwota",'Wynik '!AN54+'Wynik '!AO53,'Wynik '!AN54))))</f>
        <v>9552.7253690968046</v>
      </c>
      <c r="AP54" s="4" cm="1">
        <f t="array" ref="AP54">IF(ZmiOds="bez zmian",'Wynik '!AO54,IF(ZmiOds="inflacyjnie",'Wynik '!AO54*(1+'Wynik '!AP51),IF(ZmiOds="stały %",'Wynik '!AO54*(1+'Wynik '!AP52),IF(ZmiOds="stała kwota",'Wynik '!AO54+'Wynik '!AP53,'Wynik '!AO54))))</f>
        <v>9839.3071301697091</v>
      </c>
      <c r="AQ54" s="4" cm="1">
        <f t="array" ref="AQ54">IF(ZmiOds="bez zmian",'Wynik '!AP54,IF(ZmiOds="inflacyjnie",'Wynik '!AP54*(1+'Wynik '!AQ51),IF(ZmiOds="stały %",'Wynik '!AP54*(1+'Wynik '!AQ52),IF(ZmiOds="stała kwota",'Wynik '!AP54+'Wynik '!AQ53,'Wynik '!AP54))))</f>
        <v>10134.486344074801</v>
      </c>
      <c r="AR54" s="4" cm="1">
        <f t="array" ref="AR54">IF(ZmiOds="bez zmian",'Wynik '!AQ54,IF(ZmiOds="inflacyjnie",'Wynik '!AQ54*(1+'Wynik '!AR51),IF(ZmiOds="stały %",'Wynik '!AQ54*(1+'Wynik '!AR52),IF(ZmiOds="stała kwota",'Wynik '!AQ54+'Wynik '!AR53,'Wynik '!AQ54))))</f>
        <v>10438.520934397045</v>
      </c>
      <c r="AS54" s="4" cm="1">
        <f t="array" ref="AS54">IF(ZmiOds="bez zmian",'Wynik '!AR54,IF(ZmiOds="inflacyjnie",'Wynik '!AR54*(1+'Wynik '!AS51),IF(ZmiOds="stały %",'Wynik '!AR54*(1+'Wynik '!AS52),IF(ZmiOds="stała kwota",'Wynik '!AR54+'Wynik '!AS53,'Wynik '!AR54))))</f>
        <v>10751.676562428956</v>
      </c>
      <c r="AT54" s="4" cm="1">
        <f t="array" ref="AT54">IF(ZmiOds="bez zmian",'Wynik '!AS54,IF(ZmiOds="inflacyjnie",'Wynik '!AS54*(1+'Wynik '!AT51),IF(ZmiOds="stały %",'Wynik '!AS54*(1+'Wynik '!AT52),IF(ZmiOds="stała kwota",'Wynik '!AS54+'Wynik '!AT53,'Wynik '!AS54))))</f>
        <v>11074.226859301825</v>
      </c>
      <c r="AU54" s="4" cm="1">
        <f t="array" ref="AU54">IF(ZmiOds="bez zmian",'Wynik '!AT54,IF(ZmiOds="inflacyjnie",'Wynik '!AT54*(1+'Wynik '!AU51),IF(ZmiOds="stały %",'Wynik '!AT54*(1+'Wynik '!AU52),IF(ZmiOds="stała kwota",'Wynik '!AT54+'Wynik '!AU53,'Wynik '!AT54))))</f>
        <v>11406.45366508088</v>
      </c>
      <c r="AV54" s="4" cm="1">
        <f t="array" ref="AV54">IF(ZmiOds="bez zmian",'Wynik '!AU54,IF(ZmiOds="inflacyjnie",'Wynik '!AU54*(1+'Wynik '!AV51),IF(ZmiOds="stały %",'Wynik '!AU54*(1+'Wynik '!AV52),IF(ZmiOds="stała kwota",'Wynik '!AU54+'Wynik '!AV53,'Wynik '!AU54))))</f>
        <v>11748.647275033307</v>
      </c>
      <c r="AW54" s="4" cm="1">
        <f t="array" ref="AW54">IF(ZmiOds="bez zmian",'Wynik '!AV54,IF(ZmiOds="inflacyjnie",'Wynik '!AV54*(1+'Wynik '!AW51),IF(ZmiOds="stały %",'Wynik '!AV54*(1+'Wynik '!AW52),IF(ZmiOds="stała kwota",'Wynik '!AV54+'Wynik '!AW53,'Wynik '!AV54))))</f>
        <v>12101.106693284306</v>
      </c>
      <c r="AX54" s="4" cm="1">
        <f t="array" ref="AX54">IF(ZmiOds="bez zmian",'Wynik '!AW54,IF(ZmiOds="inflacyjnie",'Wynik '!AW54*(1+'Wynik '!AX51),IF(ZmiOds="stały %",'Wynik '!AW54*(1+'Wynik '!AX52),IF(ZmiOds="stała kwota",'Wynik '!AW54+'Wynik '!AX53,'Wynik '!AW54))))</f>
        <v>12464.139894082835</v>
      </c>
      <c r="AY54" s="4" cm="1">
        <f t="array" ref="AY54">IF(ZmiOds="bez zmian",'Wynik '!AX54,IF(ZmiOds="inflacyjnie",'Wynik '!AX54*(1+'Wynik '!AY51),IF(ZmiOds="stały %",'Wynik '!AX54*(1+'Wynik '!AY52),IF(ZmiOds="stała kwota",'Wynik '!AX54+'Wynik '!AY53,'Wynik '!AX54))))</f>
        <v>12838.06409090532</v>
      </c>
      <c r="AZ54" s="4" cm="1">
        <f t="array" ref="AZ54">IF(ZmiOds="bez zmian",'Wynik '!AY54,IF(ZmiOds="inflacyjnie",'Wynik '!AY54*(1+'Wynik '!AZ51),IF(ZmiOds="stały %",'Wynik '!AY54*(1+'Wynik '!AZ52),IF(ZmiOds="stała kwota",'Wynik '!AY54+'Wynik '!AZ53,'Wynik '!AY54))))</f>
        <v>13223.20601363248</v>
      </c>
      <c r="BA54" s="4" cm="1">
        <f t="array" ref="BA54">IF(ZmiOds="bez zmian",'Wynik '!AZ54,IF(ZmiOds="inflacyjnie",'Wynik '!AZ54*(1+'Wynik '!BA51),IF(ZmiOds="stały %",'Wynik '!AZ54*(1+'Wynik '!BA52),IF(ZmiOds="stała kwota",'Wynik '!AZ54+'Wynik '!BA53,'Wynik '!AZ54))))</f>
        <v>13619.902194041455</v>
      </c>
      <c r="BB54"/>
    </row>
    <row r="55" spans="1:54">
      <c r="A55"/>
      <c r="B55" s="36" t="s">
        <v>213</v>
      </c>
      <c r="C55" s="36"/>
      <c r="D55" s="7" cm="1">
        <f t="array" ref="D55">MAX(0, MieWyn - MAX(0, MAX(IFERROR(IF(MOD(D$49, Małrem) = 0, T_MałRem, 0),0),IFERROR(IF(MOD(D$49, DużRem) = 0, T_DużRem, 0),0)) - (12 - MieWyn)))</f>
        <v>12</v>
      </c>
      <c r="E55" s="7" cm="1">
        <f t="array" ref="E55">MAX(0, MieWyn - MAX(0, MAX(IFERROR(IF(MOD(E$49, Małrem) = 0, T_MałRem, 0),0),IFERROR(IF(MOD(E$49, DużRem) = 0, T_DużRem, 0),0)) - (12 - MieWyn)))</f>
        <v>12</v>
      </c>
      <c r="F55" s="7" cm="1">
        <f t="array" ref="F55">MAX(0, MieWyn - MAX(0, MAX(IFERROR(IF(MOD(F$49, Małrem) = 0, T_MałRem, 0),0),IFERROR(IF(MOD(F$49, DużRem) = 0, T_DużRem, 0),0)) - (12 - MieWyn)))</f>
        <v>12</v>
      </c>
      <c r="G55" s="7" cm="1">
        <f t="array" ref="G55">MAX(0, MieWyn - MAX(0, MAX(IFERROR(IF(MOD(G$49, Małrem) = 0, T_MałRem, 0),0),IFERROR(IF(MOD(G$49, DużRem) = 0, T_DużRem, 0),0)) - (12 - MieWyn)))</f>
        <v>12</v>
      </c>
      <c r="H55" s="7" cm="1">
        <f t="array" ref="H55">MAX(0, MieWyn - MAX(0, MAX(IFERROR(IF(MOD(H$49, Małrem) = 0, T_MałRem, 0),0),IFERROR(IF(MOD(H$49, DużRem) = 0, T_DużRem, 0),0)) - (12 - MieWyn)))</f>
        <v>12</v>
      </c>
      <c r="I55" s="7" cm="1">
        <f t="array" ref="I55">MAX(0, MieWyn - MAX(0, MAX(IFERROR(IF(MOD(I$49, Małrem) = 0, T_MałRem, 0),0),IFERROR(IF(MOD(I$49, DużRem) = 0, T_DużRem, 0),0)) - (12 - MieWyn)))</f>
        <v>12</v>
      </c>
      <c r="J55" s="7" cm="1">
        <f t="array" ref="J55">MAX(0, MieWyn - MAX(0, MAX(IFERROR(IF(MOD(J$49, Małrem) = 0, T_MałRem, 0),0),IFERROR(IF(MOD(J$49, DużRem) = 0, T_DużRem, 0),0)) - (12 - MieWyn)))</f>
        <v>12</v>
      </c>
      <c r="K55" s="7" cm="1">
        <f t="array" ref="K55">MAX(0, MieWyn - MAX(0, MAX(IFERROR(IF(MOD(K$49, Małrem) = 0, T_MałRem, 0),0),IFERROR(IF(MOD(K$49, DużRem) = 0, T_DużRem, 0),0)) - (12 - MieWyn)))</f>
        <v>12</v>
      </c>
      <c r="L55" s="7" cm="1">
        <f t="array" ref="L55">MAX(0, MieWyn - MAX(0, MAX(IFERROR(IF(MOD(L$49, Małrem) = 0, T_MałRem, 0),0),IFERROR(IF(MOD(L$49, DużRem) = 0, T_DużRem, 0),0)) - (12 - MieWyn)))</f>
        <v>12</v>
      </c>
      <c r="M55" s="7" cm="1">
        <f t="array" ref="M55">MAX(0, MieWyn - MAX(0, MAX(IFERROR(IF(MOD(M$49, Małrem) = 0, T_MałRem, 0),0),IFERROR(IF(MOD(M$49, DużRem) = 0, T_DużRem, 0),0)) - (12 - MieWyn)))</f>
        <v>12</v>
      </c>
      <c r="N55" s="7" cm="1">
        <f t="array" ref="N55">MAX(0, MieWyn - MAX(0, MAX(IFERROR(IF(MOD(N$49, Małrem) = 0, T_MałRem, 0),0),IFERROR(IF(MOD(N$49, DużRem) = 0, T_DużRem, 0),0)) - (12 - MieWyn)))</f>
        <v>12</v>
      </c>
      <c r="O55" s="7" cm="1">
        <f t="array" ref="O55">MAX(0, MieWyn - MAX(0, MAX(IFERROR(IF(MOD(O$49, Małrem) = 0, T_MałRem, 0),0),IFERROR(IF(MOD(O$49, DużRem) = 0, T_DużRem, 0),0)) - (12 - MieWyn)))</f>
        <v>12</v>
      </c>
      <c r="P55" s="7" cm="1">
        <f t="array" ref="P55">MAX(0, MieWyn - MAX(0, MAX(IFERROR(IF(MOD(P$49, Małrem) = 0, T_MałRem, 0),0),IFERROR(IF(MOD(P$49, DużRem) = 0, T_DużRem, 0),0)) - (12 - MieWyn)))</f>
        <v>12</v>
      </c>
      <c r="Q55" s="7" cm="1">
        <f t="array" ref="Q55">MAX(0, MieWyn - MAX(0, MAX(IFERROR(IF(MOD(Q$49, Małrem) = 0, T_MałRem, 0),0),IFERROR(IF(MOD(Q$49, DużRem) = 0, T_DużRem, 0),0)) - (12 - MieWyn)))</f>
        <v>12</v>
      </c>
      <c r="R55" s="7" cm="1">
        <f t="array" ref="R55">MAX(0, MieWyn - MAX(0, MAX(IFERROR(IF(MOD(R$49, Małrem) = 0, T_MałRem, 0),0),IFERROR(IF(MOD(R$49, DużRem) = 0, T_DużRem, 0),0)) - (12 - MieWyn)))</f>
        <v>12</v>
      </c>
      <c r="S55" s="7" cm="1">
        <f t="array" ref="S55">MAX(0, MieWyn - MAX(0, MAX(IFERROR(IF(MOD(S$49, Małrem) = 0, T_MałRem, 0),0),IFERROR(IF(MOD(S$49, DużRem) = 0, T_DużRem, 0),0)) - (12 - MieWyn)))</f>
        <v>12</v>
      </c>
      <c r="T55" s="7" cm="1">
        <f t="array" ref="T55">MAX(0, MieWyn - MAX(0, MAX(IFERROR(IF(MOD(T$49, Małrem) = 0, T_MałRem, 0),0),IFERROR(IF(MOD(T$49, DużRem) = 0, T_DużRem, 0),0)) - (12 - MieWyn)))</f>
        <v>12</v>
      </c>
      <c r="U55" s="7" cm="1">
        <f t="array" ref="U55">MAX(0, MieWyn - MAX(0, MAX(IFERROR(IF(MOD(U$49, Małrem) = 0, T_MałRem, 0),0),IFERROR(IF(MOD(U$49, DużRem) = 0, T_DużRem, 0),0)) - (12 - MieWyn)))</f>
        <v>12</v>
      </c>
      <c r="V55" s="7" cm="1">
        <f t="array" ref="V55">MAX(0, MieWyn - MAX(0, MAX(IFERROR(IF(MOD(V$49, Małrem) = 0, T_MałRem, 0),0),IFERROR(IF(MOD(V$49, DużRem) = 0, T_DużRem, 0),0)) - (12 - MieWyn)))</f>
        <v>12</v>
      </c>
      <c r="W55" s="7" cm="1">
        <f t="array" ref="W55">MAX(0, MieWyn - MAX(0, MAX(IFERROR(IF(MOD(W$49, Małrem) = 0, T_MałRem, 0),0),IFERROR(IF(MOD(W$49, DużRem) = 0, T_DużRem, 0),0)) - (12 - MieWyn)))</f>
        <v>12</v>
      </c>
      <c r="X55" s="7" cm="1">
        <f t="array" ref="X55">MAX(0, MieWyn - MAX(0, MAX(IFERROR(IF(MOD(X$49, Małrem) = 0, T_MałRem, 0),0),IFERROR(IF(MOD(X$49, DużRem) = 0, T_DużRem, 0),0)) - (12 - MieWyn)))</f>
        <v>12</v>
      </c>
      <c r="Y55" s="7" cm="1">
        <f t="array" ref="Y55">MAX(0, MieWyn - MAX(0, MAX(IFERROR(IF(MOD(Y$49, Małrem) = 0, T_MałRem, 0),0),IFERROR(IF(MOD(Y$49, DużRem) = 0, T_DużRem, 0),0)) - (12 - MieWyn)))</f>
        <v>12</v>
      </c>
      <c r="Z55" s="7" cm="1">
        <f t="array" ref="Z55">MAX(0, MieWyn - MAX(0, MAX(IFERROR(IF(MOD(Z$49, Małrem) = 0, T_MałRem, 0),0),IFERROR(IF(MOD(Z$49, DużRem) = 0, T_DużRem, 0),0)) - (12 - MieWyn)))</f>
        <v>12</v>
      </c>
      <c r="AA55" s="7" cm="1">
        <f t="array" ref="AA55">MAX(0, MieWyn - MAX(0, MAX(IFERROR(IF(MOD(AA$49, Małrem) = 0, T_MałRem, 0),0),IFERROR(IF(MOD(AA$49, DużRem) = 0, T_DużRem, 0),0)) - (12 - MieWyn)))</f>
        <v>12</v>
      </c>
      <c r="AB55" s="7" cm="1">
        <f t="array" ref="AB55">MAX(0, MieWyn - MAX(0, MAX(IFERROR(IF(MOD(AB$49, Małrem) = 0, T_MałRem, 0),0),IFERROR(IF(MOD(AB$49, DużRem) = 0, T_DużRem, 0),0)) - (12 - MieWyn)))</f>
        <v>12</v>
      </c>
      <c r="AC55" s="7" cm="1">
        <f t="array" ref="AC55">MAX(0, MieWyn - MAX(0, MAX(IFERROR(IF(MOD(AC$49, Małrem) = 0, T_MałRem, 0),0),IFERROR(IF(MOD(AC$49, DużRem) = 0, T_DużRem, 0),0)) - (12 - MieWyn)))</f>
        <v>12</v>
      </c>
      <c r="AD55" s="7" cm="1">
        <f t="array" ref="AD55">MAX(0, MieWyn - MAX(0, MAX(IFERROR(IF(MOD(AD$49, Małrem) = 0, T_MałRem, 0),0),IFERROR(IF(MOD(AD$49, DużRem) = 0, T_DużRem, 0),0)) - (12 - MieWyn)))</f>
        <v>12</v>
      </c>
      <c r="AE55" s="7" cm="1">
        <f t="array" ref="AE55">MAX(0, MieWyn - MAX(0, MAX(IFERROR(IF(MOD(AE$49, Małrem) = 0, T_MałRem, 0),0),IFERROR(IF(MOD(AE$49, DużRem) = 0, T_DużRem, 0),0)) - (12 - MieWyn)))</f>
        <v>12</v>
      </c>
      <c r="AF55" s="7" cm="1">
        <f t="array" ref="AF55">MAX(0, MieWyn - MAX(0, MAX(IFERROR(IF(MOD(AF$49, Małrem) = 0, T_MałRem, 0),0),IFERROR(IF(MOD(AF$49, DużRem) = 0, T_DużRem, 0),0)) - (12 - MieWyn)))</f>
        <v>12</v>
      </c>
      <c r="AG55" s="7" cm="1">
        <f t="array" ref="AG55">MAX(0, MieWyn - MAX(0, MAX(IFERROR(IF(MOD(AG$49, Małrem) = 0, T_MałRem, 0),0),IFERROR(IF(MOD(AG$49, DużRem) = 0, T_DużRem, 0),0)) - (12 - MieWyn)))</f>
        <v>12</v>
      </c>
      <c r="AH55" s="7" cm="1">
        <f t="array" ref="AH55">MAX(0, MieWyn - MAX(0, MAX(IFERROR(IF(MOD(AH$49, Małrem) = 0, T_MałRem, 0),0),IFERROR(IF(MOD(AH$49, DużRem) = 0, T_DużRem, 0),0)) - (12 - MieWyn)))</f>
        <v>12</v>
      </c>
      <c r="AI55" s="7" cm="1">
        <f t="array" ref="AI55">MAX(0, MieWyn - MAX(0, MAX(IFERROR(IF(MOD(AI$49, Małrem) = 0, T_MałRem, 0),0),IFERROR(IF(MOD(AI$49, DużRem) = 0, T_DużRem, 0),0)) - (12 - MieWyn)))</f>
        <v>12</v>
      </c>
      <c r="AJ55" s="7" cm="1">
        <f t="array" ref="AJ55">MAX(0, MieWyn - MAX(0, MAX(IFERROR(IF(MOD(AJ$49, Małrem) = 0, T_MałRem, 0),0),IFERROR(IF(MOD(AJ$49, DużRem) = 0, T_DużRem, 0),0)) - (12 - MieWyn)))</f>
        <v>12</v>
      </c>
      <c r="AK55" s="7" cm="1">
        <f t="array" ref="AK55">MAX(0, MieWyn - MAX(0, MAX(IFERROR(IF(MOD(AK$49, Małrem) = 0, T_MałRem, 0),0),IFERROR(IF(MOD(AK$49, DużRem) = 0, T_DużRem, 0),0)) - (12 - MieWyn)))</f>
        <v>12</v>
      </c>
      <c r="AL55" s="7" cm="1">
        <f t="array" ref="AL55">MAX(0, MieWyn - MAX(0, MAX(IFERROR(IF(MOD(AL$49, Małrem) = 0, T_MałRem, 0),0),IFERROR(IF(MOD(AL$49, DużRem) = 0, T_DużRem, 0),0)) - (12 - MieWyn)))</f>
        <v>12</v>
      </c>
      <c r="AM55" s="7" cm="1">
        <f t="array" ref="AM55">MAX(0, MieWyn - MAX(0, MAX(IFERROR(IF(MOD(AM$49, Małrem) = 0, T_MałRem, 0),0),IFERROR(IF(MOD(AM$49, DużRem) = 0, T_DużRem, 0),0)) - (12 - MieWyn)))</f>
        <v>12</v>
      </c>
      <c r="AN55" s="7" cm="1">
        <f t="array" ref="AN55">MAX(0, MieWyn - MAX(0, MAX(IFERROR(IF(MOD(AN$49, Małrem) = 0, T_MałRem, 0),0),IFERROR(IF(MOD(AN$49, DużRem) = 0, T_DużRem, 0),0)) - (12 - MieWyn)))</f>
        <v>12</v>
      </c>
      <c r="AO55" s="7" cm="1">
        <f t="array" ref="AO55">MAX(0, MieWyn - MAX(0, MAX(IFERROR(IF(MOD(AO$49, Małrem) = 0, T_MałRem, 0),0),IFERROR(IF(MOD(AO$49, DużRem) = 0, T_DużRem, 0),0)) - (12 - MieWyn)))</f>
        <v>12</v>
      </c>
      <c r="AP55" s="7" cm="1">
        <f t="array" ref="AP55">MAX(0, MieWyn - MAX(0, MAX(IFERROR(IF(MOD(AP$49, Małrem) = 0, T_MałRem, 0),0),IFERROR(IF(MOD(AP$49, DużRem) = 0, T_DużRem, 0),0)) - (12 - MieWyn)))</f>
        <v>12</v>
      </c>
      <c r="AQ55" s="7" cm="1">
        <f t="array" ref="AQ55">MAX(0, MieWyn - MAX(0, MAX(IFERROR(IF(MOD(AQ$49, Małrem) = 0, T_MałRem, 0),0),IFERROR(IF(MOD(AQ$49, DużRem) = 0, T_DużRem, 0),0)) - (12 - MieWyn)))</f>
        <v>12</v>
      </c>
      <c r="AR55" s="7" cm="1">
        <f t="array" ref="AR55">MAX(0, MieWyn - MAX(0, MAX(IFERROR(IF(MOD(AR$49, Małrem) = 0, T_MałRem, 0),0),IFERROR(IF(MOD(AR$49, DużRem) = 0, T_DużRem, 0),0)) - (12 - MieWyn)))</f>
        <v>12</v>
      </c>
      <c r="AS55" s="7" cm="1">
        <f t="array" ref="AS55">MAX(0, MieWyn - MAX(0, MAX(IFERROR(IF(MOD(AS$49, Małrem) = 0, T_MałRem, 0),0),IFERROR(IF(MOD(AS$49, DużRem) = 0, T_DużRem, 0),0)) - (12 - MieWyn)))</f>
        <v>12</v>
      </c>
      <c r="AT55" s="7" cm="1">
        <f t="array" ref="AT55">MAX(0, MieWyn - MAX(0, MAX(IFERROR(IF(MOD(AT$49, Małrem) = 0, T_MałRem, 0),0),IFERROR(IF(MOD(AT$49, DużRem) = 0, T_DużRem, 0),0)) - (12 - MieWyn)))</f>
        <v>12</v>
      </c>
      <c r="AU55" s="7" cm="1">
        <f t="array" ref="AU55">MAX(0, MieWyn - MAX(0, MAX(IFERROR(IF(MOD(AU$49, Małrem) = 0, T_MałRem, 0),0),IFERROR(IF(MOD(AU$49, DużRem) = 0, T_DużRem, 0),0)) - (12 - MieWyn)))</f>
        <v>12</v>
      </c>
      <c r="AV55" s="7" cm="1">
        <f t="array" ref="AV55">MAX(0, MieWyn - MAX(0, MAX(IFERROR(IF(MOD(AV$49, Małrem) = 0, T_MałRem, 0),0),IFERROR(IF(MOD(AV$49, DużRem) = 0, T_DużRem, 0),0)) - (12 - MieWyn)))</f>
        <v>12</v>
      </c>
      <c r="AW55" s="7" cm="1">
        <f t="array" ref="AW55">MAX(0, MieWyn - MAX(0, MAX(IFERROR(IF(MOD(AW$49, Małrem) = 0, T_MałRem, 0),0),IFERROR(IF(MOD(AW$49, DużRem) = 0, T_DużRem, 0),0)) - (12 - MieWyn)))</f>
        <v>12</v>
      </c>
      <c r="AX55" s="7" cm="1">
        <f t="array" ref="AX55">MAX(0, MieWyn - MAX(0, MAX(IFERROR(IF(MOD(AX$49, Małrem) = 0, T_MałRem, 0),0),IFERROR(IF(MOD(AX$49, DużRem) = 0, T_DużRem, 0),0)) - (12 - MieWyn)))</f>
        <v>12</v>
      </c>
      <c r="AY55" s="7" cm="1">
        <f t="array" ref="AY55">MAX(0, MieWyn - MAX(0, MAX(IFERROR(IF(MOD(AY$49, Małrem) = 0, T_MałRem, 0),0),IFERROR(IF(MOD(AY$49, DużRem) = 0, T_DużRem, 0),0)) - (12 - MieWyn)))</f>
        <v>12</v>
      </c>
      <c r="AZ55" s="7" cm="1">
        <f t="array" ref="AZ55">MAX(0, MieWyn - MAX(0, MAX(IFERROR(IF(MOD(AZ$49, Małrem) = 0, T_MałRem, 0),0),IFERROR(IF(MOD(AZ$49, DużRem) = 0, T_DużRem, 0),0)) - (12 - MieWyn)))</f>
        <v>12</v>
      </c>
      <c r="BA55" s="7" cm="1">
        <f t="array" ref="BA55">MAX(0, MieWyn - MAX(0, MAX(IFERROR(IF(MOD(BA$49, Małrem) = 0, T_MałRem, 0),0),IFERROR(IF(MOD(BA$49, DużRem) = 0, T_DużRem, 0),0)) - (12 - MieWyn)))</f>
        <v>12</v>
      </c>
      <c r="BB55"/>
    </row>
    <row r="56" spans="1:54">
      <c r="A56"/>
      <c r="B56" s="37" t="s">
        <v>209</v>
      </c>
      <c r="C56" s="37"/>
      <c r="D56" s="8">
        <f t="shared" ref="D56:AM56" si="0">D54*D55+D54*D55*D51</f>
        <v>38400</v>
      </c>
      <c r="E56" s="8">
        <f>E54*E55+E54*E55*E51</f>
        <v>40738.559999999998</v>
      </c>
      <c r="F56" s="8">
        <f t="shared" si="0"/>
        <v>41960.716799999995</v>
      </c>
      <c r="G56" s="8">
        <f t="shared" si="0"/>
        <v>43219.538304000002</v>
      </c>
      <c r="H56" s="8">
        <f t="shared" si="0"/>
        <v>44516.124453119999</v>
      </c>
      <c r="I56" s="8">
        <f t="shared" si="0"/>
        <v>45851.608186713602</v>
      </c>
      <c r="J56" s="8">
        <f t="shared" si="0"/>
        <v>47227.156432315009</v>
      </c>
      <c r="K56" s="8">
        <f t="shared" si="0"/>
        <v>48643.971125284457</v>
      </c>
      <c r="L56" s="8">
        <f t="shared" si="0"/>
        <v>50103.290259042995</v>
      </c>
      <c r="M56" s="8">
        <f t="shared" si="0"/>
        <v>51606.388966814287</v>
      </c>
      <c r="N56" s="8">
        <f t="shared" si="0"/>
        <v>53154.580635818726</v>
      </c>
      <c r="O56" s="8">
        <f t="shared" si="0"/>
        <v>54749.218054893288</v>
      </c>
      <c r="P56" s="8">
        <f t="shared" si="0"/>
        <v>56391.694596540081</v>
      </c>
      <c r="Q56" s="8">
        <f t="shared" si="0"/>
        <v>58083.445434436282</v>
      </c>
      <c r="R56" s="8">
        <f t="shared" si="0"/>
        <v>59825.948797469369</v>
      </c>
      <c r="S56" s="8">
        <f t="shared" si="0"/>
        <v>61620.727261393455</v>
      </c>
      <c r="T56" s="8">
        <f t="shared" si="0"/>
        <v>63469.34907923526</v>
      </c>
      <c r="U56" s="8">
        <f t="shared" si="0"/>
        <v>65373.429551612309</v>
      </c>
      <c r="V56" s="8">
        <f t="shared" si="0"/>
        <v>67334.632438160683</v>
      </c>
      <c r="W56" s="8">
        <f t="shared" si="0"/>
        <v>69354.671411305506</v>
      </c>
      <c r="X56" s="8">
        <f t="shared" si="0"/>
        <v>71435.311553644671</v>
      </c>
      <c r="Y56" s="8">
        <f t="shared" si="0"/>
        <v>73578.370900254013</v>
      </c>
      <c r="Z56" s="8">
        <f t="shared" si="0"/>
        <v>75785.72202726164</v>
      </c>
      <c r="AA56" s="8">
        <f t="shared" si="0"/>
        <v>78059.293688079488</v>
      </c>
      <c r="AB56" s="8">
        <f t="shared" si="0"/>
        <v>80401.072498721871</v>
      </c>
      <c r="AC56" s="8">
        <f t="shared" si="0"/>
        <v>82813.104673683527</v>
      </c>
      <c r="AD56" s="8">
        <f t="shared" si="0"/>
        <v>85297.497813894035</v>
      </c>
      <c r="AE56" s="8">
        <f t="shared" si="0"/>
        <v>87856.422748310855</v>
      </c>
      <c r="AF56" s="8">
        <f t="shared" si="0"/>
        <v>90492.115430760183</v>
      </c>
      <c r="AG56" s="8">
        <f t="shared" si="0"/>
        <v>93206.878893682995</v>
      </c>
      <c r="AH56" s="8">
        <f t="shared" si="0"/>
        <v>96003.085260493492</v>
      </c>
      <c r="AI56" s="8">
        <f t="shared" si="0"/>
        <v>98883.177818308279</v>
      </c>
      <c r="AJ56" s="8">
        <f t="shared" si="0"/>
        <v>101849.67315285755</v>
      </c>
      <c r="AK56" s="8">
        <f t="shared" si="0"/>
        <v>104905.16334744327</v>
      </c>
      <c r="AL56" s="8">
        <f t="shared" si="0"/>
        <v>108052.31824786657</v>
      </c>
      <c r="AM56" s="8">
        <f t="shared" si="0"/>
        <v>111293.88779530257</v>
      </c>
      <c r="AN56" s="8">
        <f t="shared" ref="AN56:BA56" si="1">AN54*AN55+AN54*AN55*AN51</f>
        <v>114632.70442916166</v>
      </c>
      <c r="AO56" s="8">
        <f t="shared" si="1"/>
        <v>118071.68556203649</v>
      </c>
      <c r="AP56" s="8">
        <f t="shared" si="1"/>
        <v>121613.8361288976</v>
      </c>
      <c r="AQ56" s="8">
        <f t="shared" si="1"/>
        <v>125262.25121276455</v>
      </c>
      <c r="AR56" s="8">
        <f t="shared" si="1"/>
        <v>129020.11874914748</v>
      </c>
      <c r="AS56" s="8">
        <f t="shared" si="1"/>
        <v>132890.72231162191</v>
      </c>
      <c r="AT56" s="8">
        <f t="shared" si="1"/>
        <v>136877.44398097057</v>
      </c>
      <c r="AU56" s="8">
        <f t="shared" si="1"/>
        <v>140983.76730039969</v>
      </c>
      <c r="AV56" s="8">
        <f t="shared" si="1"/>
        <v>145213.28031941169</v>
      </c>
      <c r="AW56" s="8">
        <f t="shared" si="1"/>
        <v>149569.67872899401</v>
      </c>
      <c r="AX56" s="8">
        <f t="shared" si="1"/>
        <v>154056.76909086382</v>
      </c>
      <c r="AY56" s="8">
        <f t="shared" si="1"/>
        <v>158678.47216358976</v>
      </c>
      <c r="AZ56" s="8">
        <f t="shared" si="1"/>
        <v>163438.82632849744</v>
      </c>
      <c r="BA56" s="8">
        <f t="shared" si="1"/>
        <v>168341.99111835239</v>
      </c>
      <c r="BB56"/>
    </row>
    <row r="57" spans="1:54" ht="10.5" customHeight="1">
      <c r="A57"/>
      <c r="B57"/>
      <c r="C57"/>
      <c r="D57" s="9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/>
    </row>
    <row r="58" spans="1:54">
      <c r="A58"/>
      <c r="B58" s="34" t="s">
        <v>214</v>
      </c>
      <c r="C58" s="34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/>
    </row>
    <row r="59" spans="1:54">
      <c r="A59"/>
      <c r="B59" s="36" t="s">
        <v>210</v>
      </c>
      <c r="C59" s="36"/>
      <c r="D59" s="10">
        <v>0</v>
      </c>
      <c r="E59" s="18" cm="1">
        <f t="array" ref="E59">Inf</f>
        <v>0.03</v>
      </c>
      <c r="F59" s="18" cm="1">
        <f t="array" ref="F59">Inf</f>
        <v>0.03</v>
      </c>
      <c r="G59" s="18" cm="1">
        <f t="array" ref="G59">Inf</f>
        <v>0.03</v>
      </c>
      <c r="H59" s="18" cm="1">
        <f t="array" ref="H59">Inf</f>
        <v>0.03</v>
      </c>
      <c r="I59" s="18" cm="1">
        <f t="array" ref="I59">Inf</f>
        <v>0.03</v>
      </c>
      <c r="J59" s="18" cm="1">
        <f t="array" ref="J59">Inf</f>
        <v>0.03</v>
      </c>
      <c r="K59" s="18" cm="1">
        <f t="array" ref="K59">Inf</f>
        <v>0.03</v>
      </c>
      <c r="L59" s="18" cm="1">
        <f t="array" ref="L59">Inf</f>
        <v>0.03</v>
      </c>
      <c r="M59" s="18" cm="1">
        <f t="array" ref="M59">Inf</f>
        <v>0.03</v>
      </c>
      <c r="N59" s="18" cm="1">
        <f t="array" ref="N59">Inf</f>
        <v>0.03</v>
      </c>
      <c r="O59" s="18" cm="1">
        <f t="array" ref="O59">Inf</f>
        <v>0.03</v>
      </c>
      <c r="P59" s="18" cm="1">
        <f t="array" ref="P59">Inf</f>
        <v>0.03</v>
      </c>
      <c r="Q59" s="18" cm="1">
        <f t="array" ref="Q59">Inf</f>
        <v>0.03</v>
      </c>
      <c r="R59" s="18" cm="1">
        <f t="array" ref="R59">Inf</f>
        <v>0.03</v>
      </c>
      <c r="S59" s="18" cm="1">
        <f t="array" ref="S59">Inf</f>
        <v>0.03</v>
      </c>
      <c r="T59" s="18" cm="1">
        <f t="array" ref="T59">Inf</f>
        <v>0.03</v>
      </c>
      <c r="U59" s="18" cm="1">
        <f t="array" ref="U59">Inf</f>
        <v>0.03</v>
      </c>
      <c r="V59" s="18" cm="1">
        <f t="array" ref="V59">Inf</f>
        <v>0.03</v>
      </c>
      <c r="W59" s="18" cm="1">
        <f t="array" ref="W59">Inf</f>
        <v>0.03</v>
      </c>
      <c r="X59" s="18" cm="1">
        <f t="array" ref="X59">Inf</f>
        <v>0.03</v>
      </c>
      <c r="Y59" s="18" cm="1">
        <f t="array" ref="Y59">Inf</f>
        <v>0.03</v>
      </c>
      <c r="Z59" s="18" cm="1">
        <f t="array" ref="Z59">Inf</f>
        <v>0.03</v>
      </c>
      <c r="AA59" s="18" cm="1">
        <f t="array" ref="AA59">Inf</f>
        <v>0.03</v>
      </c>
      <c r="AB59" s="18" cm="1">
        <f t="array" ref="AB59">Inf</f>
        <v>0.03</v>
      </c>
      <c r="AC59" s="18" cm="1">
        <f t="array" ref="AC59">Inf</f>
        <v>0.03</v>
      </c>
      <c r="AD59" s="18" cm="1">
        <f t="array" ref="AD59">Inf</f>
        <v>0.03</v>
      </c>
      <c r="AE59" s="18" cm="1">
        <f t="array" ref="AE59">Inf</f>
        <v>0.03</v>
      </c>
      <c r="AF59" s="18" cm="1">
        <f t="array" ref="AF59">Inf</f>
        <v>0.03</v>
      </c>
      <c r="AG59" s="18" cm="1">
        <f t="array" ref="AG59">Inf</f>
        <v>0.03</v>
      </c>
      <c r="AH59" s="18" cm="1">
        <f t="array" ref="AH59">Inf</f>
        <v>0.03</v>
      </c>
      <c r="AI59" s="18" cm="1">
        <f t="array" ref="AI59">Inf</f>
        <v>0.03</v>
      </c>
      <c r="AJ59" s="18" cm="1">
        <f t="array" ref="AJ59">Inf</f>
        <v>0.03</v>
      </c>
      <c r="AK59" s="18" cm="1">
        <f t="array" ref="AK59">Inf</f>
        <v>0.03</v>
      </c>
      <c r="AL59" s="18" cm="1">
        <f t="array" ref="AL59">Inf</f>
        <v>0.03</v>
      </c>
      <c r="AM59" s="18" cm="1">
        <f t="array" ref="AM59">Inf</f>
        <v>0.03</v>
      </c>
      <c r="AN59" s="18" cm="1">
        <f t="array" ref="AN59">Inf</f>
        <v>0.03</v>
      </c>
      <c r="AO59" s="18" cm="1">
        <f t="array" ref="AO59">Inf</f>
        <v>0.03</v>
      </c>
      <c r="AP59" s="18" cm="1">
        <f t="array" ref="AP59">Inf</f>
        <v>0.03</v>
      </c>
      <c r="AQ59" s="18" cm="1">
        <f t="array" ref="AQ59">Inf</f>
        <v>0.03</v>
      </c>
      <c r="AR59" s="18" cm="1">
        <f t="array" ref="AR59">Inf</f>
        <v>0.03</v>
      </c>
      <c r="AS59" s="18" cm="1">
        <f t="array" ref="AS59">Inf</f>
        <v>0.03</v>
      </c>
      <c r="AT59" s="18" cm="1">
        <f t="array" ref="AT59">Inf</f>
        <v>0.03</v>
      </c>
      <c r="AU59" s="18" cm="1">
        <f t="array" ref="AU59">Inf</f>
        <v>0.03</v>
      </c>
      <c r="AV59" s="18" cm="1">
        <f t="array" ref="AV59">Inf</f>
        <v>0.03</v>
      </c>
      <c r="AW59" s="18" cm="1">
        <f t="array" ref="AW59">Inf</f>
        <v>0.03</v>
      </c>
      <c r="AX59" s="18" cm="1">
        <f t="array" ref="AX59">Inf</f>
        <v>0.03</v>
      </c>
      <c r="AY59" s="18" cm="1">
        <f t="array" ref="AY59">Inf</f>
        <v>0.03</v>
      </c>
      <c r="AZ59" s="18" cm="1">
        <f t="array" ref="AZ59">Inf</f>
        <v>0.03</v>
      </c>
      <c r="BA59" s="18" cm="1">
        <f t="array" ref="BA59">Inf</f>
        <v>0.03</v>
      </c>
      <c r="BB59"/>
    </row>
    <row r="60" spans="1:54">
      <c r="A60"/>
      <c r="B60" s="36" t="s">
        <v>215</v>
      </c>
      <c r="C60" s="105" cm="1">
        <f t="array" ref="C60">CenaM+KosztRemontu</f>
        <v>324564.05</v>
      </c>
      <c r="D60" s="10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/>
    </row>
    <row r="61" spans="1:54">
      <c r="A61"/>
      <c r="B61" s="36" t="s">
        <v>216</v>
      </c>
      <c r="C61" s="105">
        <f>WydatkiPozaCenąM</f>
        <v>7821.6600000000035</v>
      </c>
      <c r="D61" s="10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/>
    </row>
    <row r="62" spans="1:54">
      <c r="A62"/>
      <c r="B62" s="36" t="s">
        <v>217</v>
      </c>
      <c r="C62" s="105">
        <f>KosztyKredytu</f>
        <v>7915.2</v>
      </c>
      <c r="D62" s="10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/>
    </row>
    <row r="63" spans="1:54">
      <c r="A63"/>
      <c r="B63" s="36" t="s">
        <v>218</v>
      </c>
      <c r="C63" s="105"/>
      <c r="D63" s="8" cm="1">
        <f t="array" ref="D63">IF(OR(ISBLANK(Małrem),Małrem=0),0,IF(MOD(D49,Małrem)=0,K_MałRem*IF(KosInf="Tak",PRODUCT(1+INDEX(ObszarInf,1,1):INDEX(ObszarInf,1,D49-1)),1),0))</f>
        <v>0</v>
      </c>
      <c r="E63" s="8" cm="1">
        <f t="array" ref="E63">IF(OR(ISBLANK(Małrem),Małrem=0),0,IF(MOD(E49,Małrem)=0,K_MałRem*IF(KosInf="Tak",PRODUCT(1+INDEX(ObszarInf,1,1):INDEX(ObszarInf,1,E49-1)),1),0))</f>
        <v>0</v>
      </c>
      <c r="F63" s="8" cm="1">
        <f t="array" ref="F63">IF(OR(ISBLANK(Małrem),Małrem=0),0,IF(MOD(F49,Małrem)=0,K_MałRem*IF(KosInf="Tak",PRODUCT(1+INDEX(ObszarInf,1,1):INDEX(ObszarInf,1,F49-1)),1),0))</f>
        <v>0</v>
      </c>
      <c r="G63" s="8" cm="1">
        <f t="array" ref="G63">IF(OR(ISBLANK(Małrem),Małrem=0),0,IF(MOD(G49,Małrem)=0,K_MałRem*IF(KosInf="Tak",PRODUCT(1+INDEX(ObszarInf,1,1):INDEX(ObszarInf,1,G49-1)),1),0))</f>
        <v>0</v>
      </c>
      <c r="H63" s="8" cm="1">
        <f t="array" ref="H63">IF(OR(ISBLANK(Małrem),Małrem=0),0,IF(MOD(H49,Małrem)=0,K_MałRem*IF(KosInf="Tak",PRODUCT(1+INDEX(ObszarInf,1,1):INDEX(ObszarInf,1,H49-1)),1),0))</f>
        <v>0</v>
      </c>
      <c r="I63" s="8" cm="1">
        <f t="array" ref="I63">IF(OR(ISBLANK(Małrem),Małrem=0),0,IF(MOD(I49,Małrem)=0,K_MałRem*IF(KosInf="Tak",PRODUCT(1+INDEX(ObszarInf,1,1):INDEX(ObszarInf,1,I49-1)),1),0))</f>
        <v>0</v>
      </c>
      <c r="J63" s="8" cm="1">
        <f t="array" ref="J63">IF(OR(ISBLANK(Małrem),Małrem=0),0,IF(MOD(J49,Małrem)=0,K_MałRem*IF(KosInf="Tak",PRODUCT(1+INDEX(ObszarInf,1,1):INDEX(ObszarInf,1,J49-1)),1),0))</f>
        <v>0</v>
      </c>
      <c r="K63" s="8" cm="1">
        <f t="array" ref="K63">IF(OR(ISBLANK(Małrem),Małrem=0),0,IF(MOD(K49,Małrem)=0,K_MałRem*IF(KosInf="Tak",PRODUCT(1+INDEX(ObszarInf,1,1):INDEX(ObszarInf,1,K49-1)),1),0))</f>
        <v>0</v>
      </c>
      <c r="L63" s="8" cm="1">
        <f t="array" ref="L63">IF(OR(ISBLANK(Małrem),Małrem=0),0,IF(MOD(L49,Małrem)=0,K_MałRem*IF(KosInf="Tak",PRODUCT(1+INDEX(ObszarInf,1,1):INDEX(ObszarInf,1,L49-1)),1),0))</f>
        <v>0</v>
      </c>
      <c r="M63" s="8" cm="1">
        <f t="array" ref="M63">IF(OR(ISBLANK(Małrem),Małrem=0),0,IF(MOD(M49,Małrem)=0,K_MałRem*IF(KosInf="Tak",PRODUCT(1+INDEX(ObszarInf,1,1):INDEX(ObszarInf,1,M49-1)),1),0))</f>
        <v>0</v>
      </c>
      <c r="N63" s="8" cm="1">
        <f t="array" ref="N63">IF(OR(ISBLANK(Małrem),Małrem=0),0,IF(MOD(N49,Małrem)=0,K_MałRem*IF(KosInf="Tak",PRODUCT(1+INDEX(ObszarInf,1,1):INDEX(ObszarInf,1,N49-1)),1),0))</f>
        <v>0</v>
      </c>
      <c r="O63" s="8" cm="1">
        <f t="array" ref="O63">IF(OR(ISBLANK(Małrem),Małrem=0),0,IF(MOD(O49,Małrem)=0,K_MałRem*IF(KosInf="Tak",PRODUCT(1+INDEX(ObszarInf,1,1):INDEX(ObszarInf,1,O49-1)),1),0))</f>
        <v>0</v>
      </c>
      <c r="P63" s="8" cm="1">
        <f t="array" ref="P63">IF(OR(ISBLANK(Małrem),Małrem=0),0,IF(MOD(P49,Małrem)=0,K_MałRem*IF(KosInf="Tak",PRODUCT(1+INDEX(ObszarInf,1,1):INDEX(ObszarInf,1,P49-1)),1),0))</f>
        <v>0</v>
      </c>
      <c r="Q63" s="8" cm="1">
        <f t="array" ref="Q63">IF(OR(ISBLANK(Małrem),Małrem=0),0,IF(MOD(Q49,Małrem)=0,K_MałRem*IF(KosInf="Tak",PRODUCT(1+INDEX(ObszarInf,1,1):INDEX(ObszarInf,1,Q49-1)),1),0))</f>
        <v>0</v>
      </c>
      <c r="R63" s="8" cm="1">
        <f t="array" ref="R63">IF(OR(ISBLANK(Małrem),Małrem=0),0,IF(MOD(R49,Małrem)=0,K_MałRem*IF(KosInf="Tak",PRODUCT(1+INDEX(ObszarInf,1,1):INDEX(ObszarInf,1,R49-1)),1),0))</f>
        <v>0</v>
      </c>
      <c r="S63" s="8" cm="1">
        <f t="array" ref="S63">IF(OR(ISBLANK(Małrem),Małrem=0),0,IF(MOD(S49,Małrem)=0,K_MałRem*IF(KosInf="Tak",PRODUCT(1+INDEX(ObszarInf,1,1):INDEX(ObszarInf,1,S49-1)),1),0))</f>
        <v>0</v>
      </c>
      <c r="T63" s="8" cm="1">
        <f t="array" ref="T63">IF(OR(ISBLANK(Małrem),Małrem=0),0,IF(MOD(T49,Małrem)=0,K_MałRem*IF(KosInf="Tak",PRODUCT(1+INDEX(ObszarInf,1,1):INDEX(ObszarInf,1,T49-1)),1),0))</f>
        <v>0</v>
      </c>
      <c r="U63" s="8" cm="1">
        <f t="array" ref="U63">IF(OR(ISBLANK(Małrem),Małrem=0),0,IF(MOD(U49,Małrem)=0,K_MałRem*IF(KosInf="Tak",PRODUCT(1+INDEX(ObszarInf,1,1):INDEX(ObszarInf,1,U49-1)),1),0))</f>
        <v>0</v>
      </c>
      <c r="V63" s="8" cm="1">
        <f t="array" ref="V63">IF(OR(ISBLANK(Małrem),Małrem=0),0,IF(MOD(V49,Małrem)=0,K_MałRem*IF(KosInf="Tak",PRODUCT(1+INDEX(ObszarInf,1,1):INDEX(ObszarInf,1,V49-1)),1),0))</f>
        <v>0</v>
      </c>
      <c r="W63" s="8" cm="1">
        <f t="array" ref="W63">IF(OR(ISBLANK(Małrem),Małrem=0),0,IF(MOD(W49,Małrem)=0,K_MałRem*IF(KosInf="Tak",PRODUCT(1+INDEX(ObszarInf,1,1):INDEX(ObszarInf,1,W49-1)),1),0))</f>
        <v>0</v>
      </c>
      <c r="X63" s="8" cm="1">
        <f t="array" ref="X63">IF(OR(ISBLANK(Małrem),Małrem=0),0,IF(MOD(X49,Małrem)=0,K_MałRem*IF(KosInf="Tak",PRODUCT(1+INDEX(ObszarInf,1,1):INDEX(ObszarInf,1,X49-1)),1),0))</f>
        <v>0</v>
      </c>
      <c r="Y63" s="8" cm="1">
        <f t="array" ref="Y63">IF(OR(ISBLANK(Małrem),Małrem=0),0,IF(MOD(Y49,Małrem)=0,K_MałRem*IF(KosInf="Tak",PRODUCT(1+INDEX(ObszarInf,1,1):INDEX(ObszarInf,1,Y49-1)),1),0))</f>
        <v>0</v>
      </c>
      <c r="Z63" s="8" cm="1">
        <f t="array" ref="Z63">IF(OR(ISBLANK(Małrem),Małrem=0),0,IF(MOD(Z49,Małrem)=0,K_MałRem*IF(KosInf="Tak",PRODUCT(1+INDEX(ObszarInf,1,1):INDEX(ObszarInf,1,Z49-1)),1),0))</f>
        <v>0</v>
      </c>
      <c r="AA63" s="8" cm="1">
        <f t="array" ref="AA63">IF(OR(ISBLANK(Małrem),Małrem=0),0,IF(MOD(AA49,Małrem)=0,K_MałRem*IF(KosInf="Tak",PRODUCT(1+INDEX(ObszarInf,1,1):INDEX(ObszarInf,1,AA49-1)),1),0))</f>
        <v>0</v>
      </c>
      <c r="AB63" s="8" cm="1">
        <f t="array" ref="AB63">IF(OR(ISBLANK(Małrem),Małrem=0),0,IF(MOD(AB49,Małrem)=0,K_MałRem*IF(KosInf="Tak",PRODUCT(1+INDEX(ObszarInf,1,1):INDEX(ObszarInf,1,AB49-1)),1),0))</f>
        <v>0</v>
      </c>
      <c r="AC63" s="8" cm="1">
        <f t="array" ref="AC63">IF(OR(ISBLANK(Małrem),Małrem=0),0,IF(MOD(AC49,Małrem)=0,K_MałRem*IF(KosInf="Tak",PRODUCT(1+INDEX(ObszarInf,1,1):INDEX(ObszarInf,1,AC49-1)),1),0))</f>
        <v>0</v>
      </c>
      <c r="AD63" s="8" cm="1">
        <f t="array" ref="AD63">IF(OR(ISBLANK(Małrem),Małrem=0),0,IF(MOD(AD49,Małrem)=0,K_MałRem*IF(KosInf="Tak",PRODUCT(1+INDEX(ObszarInf,1,1):INDEX(ObszarInf,1,AD49-1)),1),0))</f>
        <v>0</v>
      </c>
      <c r="AE63" s="8" cm="1">
        <f t="array" ref="AE63">IF(OR(ISBLANK(Małrem),Małrem=0),0,IF(MOD(AE49,Małrem)=0,K_MałRem*IF(KosInf="Tak",PRODUCT(1+INDEX(ObszarInf,1,1):INDEX(ObszarInf,1,AE49-1)),1),0))</f>
        <v>0</v>
      </c>
      <c r="AF63" s="8" cm="1">
        <f t="array" ref="AF63">IF(OR(ISBLANK(Małrem),Małrem=0),0,IF(MOD(AF49,Małrem)=0,K_MałRem*IF(KosInf="Tak",PRODUCT(1+INDEX(ObszarInf,1,1):INDEX(ObszarInf,1,AF49-1)),1),0))</f>
        <v>0</v>
      </c>
      <c r="AG63" s="8" cm="1">
        <f t="array" ref="AG63">IF(OR(ISBLANK(Małrem),Małrem=0),0,IF(MOD(AG49,Małrem)=0,K_MałRem*IF(KosInf="Tak",PRODUCT(1+INDEX(ObszarInf,1,1):INDEX(ObszarInf,1,AG49-1)),1),0))</f>
        <v>0</v>
      </c>
      <c r="AH63" s="8" cm="1">
        <f t="array" ref="AH63">IF(OR(ISBLANK(Małrem),Małrem=0),0,IF(MOD(AH49,Małrem)=0,K_MałRem*IF(KosInf="Tak",PRODUCT(1+INDEX(ObszarInf,1,1):INDEX(ObszarInf,1,AH49-1)),1),0))</f>
        <v>0</v>
      </c>
      <c r="AI63" s="8" cm="1">
        <f t="array" ref="AI63">IF(OR(ISBLANK(Małrem),Małrem=0),0,IF(MOD(AI49,Małrem)=0,K_MałRem*IF(KosInf="Tak",PRODUCT(1+INDEX(ObszarInf,1,1):INDEX(ObszarInf,1,AI49-1)),1),0))</f>
        <v>0</v>
      </c>
      <c r="AJ63" s="8" cm="1">
        <f t="array" ref="AJ63">IF(OR(ISBLANK(Małrem),Małrem=0),0,IF(MOD(AJ49,Małrem)=0,K_MałRem*IF(KosInf="Tak",PRODUCT(1+INDEX(ObszarInf,1,1):INDEX(ObszarInf,1,AJ49-1)),1),0))</f>
        <v>0</v>
      </c>
      <c r="AK63" s="8" cm="1">
        <f t="array" ref="AK63">IF(OR(ISBLANK(Małrem),Małrem=0),0,IF(MOD(AK49,Małrem)=0,K_MałRem*IF(KosInf="Tak",PRODUCT(1+INDEX(ObszarInf,1,1):INDEX(ObszarInf,1,AK49-1)),1),0))</f>
        <v>0</v>
      </c>
      <c r="AL63" s="8" cm="1">
        <f t="array" ref="AL63">IF(OR(ISBLANK(Małrem),Małrem=0),0,IF(MOD(AL49,Małrem)=0,K_MałRem*IF(KosInf="Tak",PRODUCT(1+INDEX(ObszarInf,1,1):INDEX(ObszarInf,1,AL49-1)),1),0))</f>
        <v>0</v>
      </c>
      <c r="AM63" s="8" cm="1">
        <f t="array" ref="AM63">IF(OR(ISBLANK(Małrem),Małrem=0),0,IF(MOD(AM49,Małrem)=0,K_MałRem*IF(KosInf="Tak",PRODUCT(1+INDEX(ObszarInf,1,1):INDEX(ObszarInf,1,AM49-1)),1),0))</f>
        <v>0</v>
      </c>
      <c r="AN63" s="8" cm="1">
        <f t="array" ref="AN63">IF(OR(ISBLANK(Małrem),Małrem=0),0,IF(MOD(AN49,Małrem)=0,K_MałRem*IF(KosInf="Tak",PRODUCT(1+INDEX(ObszarInf,1,1):INDEX(ObszarInf,1,AN49-1)),1),0))</f>
        <v>0</v>
      </c>
      <c r="AO63" s="8" cm="1">
        <f t="array" ref="AO63">IF(OR(ISBLANK(Małrem),Małrem=0),0,IF(MOD(AO49,Małrem)=0,K_MałRem*IF(KosInf="Tak",PRODUCT(1+INDEX(ObszarInf,1,1):INDEX(ObszarInf,1,AO49-1)),1),0))</f>
        <v>0</v>
      </c>
      <c r="AP63" s="8" cm="1">
        <f t="array" ref="AP63">IF(OR(ISBLANK(Małrem),Małrem=0),0,IF(MOD(AP49,Małrem)=0,K_MałRem*IF(KosInf="Tak",PRODUCT(1+INDEX(ObszarInf,1,1):INDEX(ObszarInf,1,AP49-1)),1),0))</f>
        <v>0</v>
      </c>
      <c r="AQ63" s="8" cm="1">
        <f t="array" ref="AQ63">IF(OR(ISBLANK(Małrem),Małrem=0),0,IF(MOD(AQ49,Małrem)=0,K_MałRem*IF(KosInf="Tak",PRODUCT(1+INDEX(ObszarInf,1,1):INDEX(ObszarInf,1,AQ49-1)),1),0))</f>
        <v>0</v>
      </c>
      <c r="AR63" s="8" cm="1">
        <f t="array" ref="AR63">IF(OR(ISBLANK(Małrem),Małrem=0),0,IF(MOD(AR49,Małrem)=0,K_MałRem*IF(KosInf="Tak",PRODUCT(1+INDEX(ObszarInf,1,1):INDEX(ObszarInf,1,AR49-1)),1),0))</f>
        <v>0</v>
      </c>
      <c r="AS63" s="8" cm="1">
        <f t="array" ref="AS63">IF(OR(ISBLANK(Małrem),Małrem=0),0,IF(MOD(AS49,Małrem)=0,K_MałRem*IF(KosInf="Tak",PRODUCT(1+INDEX(ObszarInf,1,1):INDEX(ObszarInf,1,AS49-1)),1),0))</f>
        <v>0</v>
      </c>
      <c r="AT63" s="8" cm="1">
        <f t="array" ref="AT63">IF(OR(ISBLANK(Małrem),Małrem=0),0,IF(MOD(AT49,Małrem)=0,K_MałRem*IF(KosInf="Tak",PRODUCT(1+INDEX(ObszarInf,1,1):INDEX(ObszarInf,1,AT49-1)),1),0))</f>
        <v>0</v>
      </c>
      <c r="AU63" s="8" cm="1">
        <f t="array" ref="AU63">IF(OR(ISBLANK(Małrem),Małrem=0),0,IF(MOD(AU49,Małrem)=0,K_MałRem*IF(KosInf="Tak",PRODUCT(1+INDEX(ObszarInf,1,1):INDEX(ObszarInf,1,AU49-1)),1),0))</f>
        <v>0</v>
      </c>
      <c r="AV63" s="8" cm="1">
        <f t="array" ref="AV63">IF(OR(ISBLANK(Małrem),Małrem=0),0,IF(MOD(AV49,Małrem)=0,K_MałRem*IF(KosInf="Tak",PRODUCT(1+INDEX(ObszarInf,1,1):INDEX(ObszarInf,1,AV49-1)),1),0))</f>
        <v>0</v>
      </c>
      <c r="AW63" s="8" cm="1">
        <f t="array" ref="AW63">IF(OR(ISBLANK(Małrem),Małrem=0),0,IF(MOD(AW49,Małrem)=0,K_MałRem*IF(KosInf="Tak",PRODUCT(1+INDEX(ObszarInf,1,1):INDEX(ObszarInf,1,AW49-1)),1),0))</f>
        <v>0</v>
      </c>
      <c r="AX63" s="8" cm="1">
        <f t="array" ref="AX63">IF(OR(ISBLANK(Małrem),Małrem=0),0,IF(MOD(AX49,Małrem)=0,K_MałRem*IF(KosInf="Tak",PRODUCT(1+INDEX(ObszarInf,1,1):INDEX(ObszarInf,1,AX49-1)),1),0))</f>
        <v>0</v>
      </c>
      <c r="AY63" s="8" cm="1">
        <f t="array" ref="AY63">IF(OR(ISBLANK(Małrem),Małrem=0),0,IF(MOD(AY49,Małrem)=0,K_MałRem*IF(KosInf="Tak",PRODUCT(1+INDEX(ObszarInf,1,1):INDEX(ObszarInf,1,AY49-1)),1),0))</f>
        <v>0</v>
      </c>
      <c r="AZ63" s="8" cm="1">
        <f t="array" ref="AZ63">IF(OR(ISBLANK(Małrem),Małrem=0),0,IF(MOD(AZ49,Małrem)=0,K_MałRem*IF(KosInf="Tak",PRODUCT(1+INDEX(ObszarInf,1,1):INDEX(ObszarInf,1,AZ49-1)),1),0))</f>
        <v>0</v>
      </c>
      <c r="BA63" s="8" cm="1">
        <f t="array" ref="BA63">IF(OR(ISBLANK(Małrem),Małrem=0),0,IF(MOD(BA49,Małrem)=0,K_MałRem*IF(KosInf="Tak",PRODUCT(1+INDEX(ObszarInf,1,1):INDEX(ObszarInf,1,BA49-1)),1),0))</f>
        <v>0</v>
      </c>
      <c r="BB63"/>
    </row>
    <row r="64" spans="1:54">
      <c r="A64"/>
      <c r="B64" s="36" t="s">
        <v>219</v>
      </c>
      <c r="C64" s="105"/>
      <c r="D64" s="8" cm="1">
        <f t="array" ref="D64">IF(OR(ISBLANK(DużRem),DużRem=0),0,IF(MOD(D49,DużRem)=0,K_DużRem*IF(KosInf="Tak",PRODUCT(1+INDEX(ObszarInf,1,1):INDEX(ObszarInf,1,D49-1)),1),0))</f>
        <v>0</v>
      </c>
      <c r="E64" s="8" cm="1">
        <f t="array" ref="E64">IF(OR(ISBLANK(DużRem),DużRem=0),0,IF(MOD(E49,DużRem)=0,K_DużRem*IF(KosInf="Tak",PRODUCT(1+INDEX(ObszarInf,1,1):INDEX(ObszarInf,1,E49-1)),1),0))</f>
        <v>0</v>
      </c>
      <c r="F64" s="8" cm="1">
        <f t="array" ref="F64">IF(OR(ISBLANK(DużRem),DużRem=0),0,IF(MOD(F49,DużRem)=0,K_DużRem*IF(KosInf="Tak",PRODUCT(1+INDEX(ObszarInf,1,1):INDEX(ObszarInf,1,F49-1)),1),0))</f>
        <v>0</v>
      </c>
      <c r="G64" s="8" cm="1">
        <f t="array" ref="G64">IF(OR(ISBLANK(DużRem),DużRem=0),0,IF(MOD(G49,DużRem)=0,K_DużRem*IF(KosInf="Tak",PRODUCT(1+INDEX(ObszarInf,1,1):INDEX(ObszarInf,1,G49-1)),1),0))</f>
        <v>0</v>
      </c>
      <c r="H64" s="8" cm="1">
        <f t="array" ref="H64">IF(OR(ISBLANK(DużRem),DużRem=0),0,IF(MOD(H49,DużRem)=0,K_DużRem*IF(KosInf="Tak",PRODUCT(1+INDEX(ObszarInf,1,1):INDEX(ObszarInf,1,H49-1)),1),0))</f>
        <v>0</v>
      </c>
      <c r="I64" s="8" cm="1">
        <f t="array" ref="I64">IF(OR(ISBLANK(DużRem),DużRem=0),0,IF(MOD(I49,DużRem)=0,K_DużRem*IF(KosInf="Tak",PRODUCT(1+INDEX(ObszarInf,1,1):INDEX(ObszarInf,1,I49-1)),1),0))</f>
        <v>0</v>
      </c>
      <c r="J64" s="8" cm="1">
        <f t="array" ref="J64">IF(OR(ISBLANK(DużRem),DużRem=0),0,IF(MOD(J49,DużRem)=0,K_DużRem*IF(KosInf="Tak",PRODUCT(1+INDEX(ObszarInf,1,1):INDEX(ObszarInf,1,J49-1)),1),0))</f>
        <v>0</v>
      </c>
      <c r="K64" s="8" cm="1">
        <f t="array" ref="K64">IF(OR(ISBLANK(DużRem),DużRem=0),0,IF(MOD(K49,DużRem)=0,K_DużRem*IF(KosInf="Tak",PRODUCT(1+INDEX(ObszarInf,1,1):INDEX(ObszarInf,1,K49-1)),1),0))</f>
        <v>0</v>
      </c>
      <c r="L64" s="8" cm="1">
        <f t="array" ref="L64">IF(OR(ISBLANK(DużRem),DużRem=0),0,IF(MOD(L49,DużRem)=0,K_DużRem*IF(KosInf="Tak",PRODUCT(1+INDEX(ObszarInf,1,1):INDEX(ObszarInf,1,L49-1)),1),0))</f>
        <v>0</v>
      </c>
      <c r="M64" s="8" cm="1">
        <f t="array" ref="M64">IF(OR(ISBLANK(DużRem),DużRem=0),0,IF(MOD(M49,DużRem)=0,K_DużRem*IF(KosInf="Tak",PRODUCT(1+INDEX(ObszarInf,1,1):INDEX(ObszarInf,1,M49-1)),1),0))</f>
        <v>0</v>
      </c>
      <c r="N64" s="8" cm="1">
        <f t="array" ref="N64">IF(OR(ISBLANK(DużRem),DużRem=0),0,IF(MOD(N49,DużRem)=0,K_DużRem*IF(KosInf="Tak",PRODUCT(1+INDEX(ObszarInf,1,1):INDEX(ObszarInf,1,N49-1)),1),0))</f>
        <v>0</v>
      </c>
      <c r="O64" s="8" cm="1">
        <f t="array" ref="O64">IF(OR(ISBLANK(DużRem),DużRem=0),0,IF(MOD(O49,DużRem)=0,K_DużRem*IF(KosInf="Tak",PRODUCT(1+INDEX(ObszarInf,1,1):INDEX(ObszarInf,1,O49-1)),1),0))</f>
        <v>0</v>
      </c>
      <c r="P64" s="8" cm="1">
        <f t="array" ref="P64">IF(OR(ISBLANK(DużRem),DużRem=0),0,IF(MOD(P49,DużRem)=0,K_DużRem*IF(KosInf="Tak",PRODUCT(1+INDEX(ObszarInf,1,1):INDEX(ObszarInf,1,P49-1)),1),0))</f>
        <v>0</v>
      </c>
      <c r="Q64" s="8" cm="1">
        <f t="array" ref="Q64">IF(OR(ISBLANK(DużRem),DużRem=0),0,IF(MOD(Q49,DużRem)=0,K_DużRem*IF(KosInf="Tak",PRODUCT(1+INDEX(ObszarInf,1,1):INDEX(ObszarInf,1,Q49-1)),1),0))</f>
        <v>0</v>
      </c>
      <c r="R64" s="8" cm="1">
        <f t="array" ref="R64">IF(OR(ISBLANK(DużRem),DużRem=0),0,IF(MOD(R49,DużRem)=0,K_DużRem*IF(KosInf="Tak",PRODUCT(1+INDEX(ObszarInf,1,1):INDEX(ObszarInf,1,R49-1)),1),0))</f>
        <v>0</v>
      </c>
      <c r="S64" s="8" cm="1">
        <f t="array" ref="S64">IF(OR(ISBLANK(DużRem),DużRem=0),0,IF(MOD(S49,DużRem)=0,K_DużRem*IF(KosInf="Tak",PRODUCT(1+INDEX(ObszarInf,1,1):INDEX(ObszarInf,1,S49-1)),1),0))</f>
        <v>0</v>
      </c>
      <c r="T64" s="8" cm="1">
        <f t="array" ref="T64">IF(OR(ISBLANK(DużRem),DużRem=0),0,IF(MOD(T49,DużRem)=0,K_DużRem*IF(KosInf="Tak",PRODUCT(1+INDEX(ObszarInf,1,1):INDEX(ObszarInf,1,T49-1)),1),0))</f>
        <v>0</v>
      </c>
      <c r="U64" s="8" cm="1">
        <f t="array" ref="U64">IF(OR(ISBLANK(DużRem),DużRem=0),0,IF(MOD(U49,DużRem)=0,K_DużRem*IF(KosInf="Tak",PRODUCT(1+INDEX(ObszarInf,1,1):INDEX(ObszarInf,1,U49-1)),1),0))</f>
        <v>0</v>
      </c>
      <c r="V64" s="8" cm="1">
        <f t="array" ref="V64">IF(OR(ISBLANK(DużRem),DużRem=0),0,IF(MOD(V49,DużRem)=0,K_DużRem*IF(KosInf="Tak",PRODUCT(1+INDEX(ObszarInf,1,1):INDEX(ObszarInf,1,V49-1)),1),0))</f>
        <v>0</v>
      </c>
      <c r="W64" s="8" cm="1">
        <f t="array" ref="W64">IF(OR(ISBLANK(DużRem),DużRem=0),0,IF(MOD(W49,DużRem)=0,K_DużRem*IF(KosInf="Tak",PRODUCT(1+INDEX(ObszarInf,1,1):INDEX(ObszarInf,1,W49-1)),1),0))</f>
        <v>0</v>
      </c>
      <c r="X64" s="8" cm="1">
        <f t="array" ref="X64">IF(OR(ISBLANK(DużRem),DużRem=0),0,IF(MOD(X49,DużRem)=0,K_DużRem*IF(KosInf="Tak",PRODUCT(1+INDEX(ObszarInf,1,1):INDEX(ObszarInf,1,X49-1)),1),0))</f>
        <v>0</v>
      </c>
      <c r="Y64" s="8" cm="1">
        <f t="array" ref="Y64">IF(OR(ISBLANK(DużRem),DużRem=0),0,IF(MOD(Y49,DużRem)=0,K_DużRem*IF(KosInf="Tak",PRODUCT(1+INDEX(ObszarInf,1,1):INDEX(ObszarInf,1,Y49-1)),1),0))</f>
        <v>0</v>
      </c>
      <c r="Z64" s="8" cm="1">
        <f t="array" ref="Z64">IF(OR(ISBLANK(DużRem),DużRem=0),0,IF(MOD(Z49,DużRem)=0,K_DużRem*IF(KosInf="Tak",PRODUCT(1+INDEX(ObszarInf,1,1):INDEX(ObszarInf,1,Z49-1)),1),0))</f>
        <v>0</v>
      </c>
      <c r="AA64" s="8" cm="1">
        <f t="array" ref="AA64">IF(OR(ISBLANK(DużRem),DużRem=0),0,IF(MOD(AA49,DużRem)=0,K_DużRem*IF(KosInf="Tak",PRODUCT(1+INDEX(ObszarInf,1,1):INDEX(ObszarInf,1,AA49-1)),1),0))</f>
        <v>0</v>
      </c>
      <c r="AB64" s="8" cm="1">
        <f t="array" ref="AB64">IF(OR(ISBLANK(DużRem),DużRem=0),0,IF(MOD(AB49,DużRem)=0,K_DużRem*IF(KosInf="Tak",PRODUCT(1+INDEX(ObszarInf,1,1):INDEX(ObszarInf,1,AB49-1)),1),0))</f>
        <v>0</v>
      </c>
      <c r="AC64" s="8" cm="1">
        <f t="array" ref="AC64">IF(OR(ISBLANK(DużRem),DużRem=0),0,IF(MOD(AC49,DużRem)=0,K_DużRem*IF(KosInf="Tak",PRODUCT(1+INDEX(ObszarInf,1,1):INDEX(ObszarInf,1,AC49-1)),1),0))</f>
        <v>0</v>
      </c>
      <c r="AD64" s="8" cm="1">
        <f t="array" ref="AD64">IF(OR(ISBLANK(DużRem),DużRem=0),0,IF(MOD(AD49,DużRem)=0,K_DużRem*IF(KosInf="Tak",PRODUCT(1+INDEX(ObszarInf,1,1):INDEX(ObszarInf,1,AD49-1)),1),0))</f>
        <v>0</v>
      </c>
      <c r="AE64" s="8" cm="1">
        <f t="array" ref="AE64">IF(OR(ISBLANK(DużRem),DużRem=0),0,IF(MOD(AE49,DużRem)=0,K_DużRem*IF(KosInf="Tak",PRODUCT(1+INDEX(ObszarInf,1,1):INDEX(ObszarInf,1,AE49-1)),1),0))</f>
        <v>0</v>
      </c>
      <c r="AF64" s="8" cm="1">
        <f t="array" ref="AF64">IF(OR(ISBLANK(DużRem),DużRem=0),0,IF(MOD(AF49,DużRem)=0,K_DużRem*IF(KosInf="Tak",PRODUCT(1+INDEX(ObszarInf,1,1):INDEX(ObszarInf,1,AF49-1)),1),0))</f>
        <v>0</v>
      </c>
      <c r="AG64" s="8" cm="1">
        <f t="array" ref="AG64">IF(OR(ISBLANK(DużRem),DużRem=0),0,IF(MOD(AG49,DużRem)=0,K_DużRem*IF(KosInf="Tak",PRODUCT(1+INDEX(ObszarInf,1,1):INDEX(ObszarInf,1,AG49-1)),1),0))</f>
        <v>0</v>
      </c>
      <c r="AH64" s="8" cm="1">
        <f t="array" ref="AH64">IF(OR(ISBLANK(DużRem),DużRem=0),0,IF(MOD(AH49,DużRem)=0,K_DużRem*IF(KosInf="Tak",PRODUCT(1+INDEX(ObszarInf,1,1):INDEX(ObszarInf,1,AH49-1)),1),0))</f>
        <v>0</v>
      </c>
      <c r="AI64" s="8" cm="1">
        <f t="array" ref="AI64">IF(OR(ISBLANK(DużRem),DużRem=0),0,IF(MOD(AI49,DużRem)=0,K_DużRem*IF(KosInf="Tak",PRODUCT(1+INDEX(ObszarInf,1,1):INDEX(ObszarInf,1,AI49-1)),1),0))</f>
        <v>0</v>
      </c>
      <c r="AJ64" s="8" cm="1">
        <f t="array" ref="AJ64">IF(OR(ISBLANK(DużRem),DużRem=0),0,IF(MOD(AJ49,DużRem)=0,K_DużRem*IF(KosInf="Tak",PRODUCT(1+INDEX(ObszarInf,1,1):INDEX(ObszarInf,1,AJ49-1)),1),0))</f>
        <v>0</v>
      </c>
      <c r="AK64" s="8" cm="1">
        <f t="array" ref="AK64">IF(OR(ISBLANK(DużRem),DużRem=0),0,IF(MOD(AK49,DużRem)=0,K_DużRem*IF(KosInf="Tak",PRODUCT(1+INDEX(ObszarInf,1,1):INDEX(ObszarInf,1,AK49-1)),1),0))</f>
        <v>0</v>
      </c>
      <c r="AL64" s="8" cm="1">
        <f t="array" ref="AL64">IF(OR(ISBLANK(DużRem),DużRem=0),0,IF(MOD(AL49,DużRem)=0,K_DużRem*IF(KosInf="Tak",PRODUCT(1+INDEX(ObszarInf,1,1):INDEX(ObszarInf,1,AL49-1)),1),0))</f>
        <v>0</v>
      </c>
      <c r="AM64" s="8" cm="1">
        <f t="array" ref="AM64">IF(OR(ISBLANK(DużRem),DużRem=0),0,IF(MOD(AM49,DużRem)=0,K_DużRem*IF(KosInf="Tak",PRODUCT(1+INDEX(ObszarInf,1,1):INDEX(ObszarInf,1,AM49-1)),1),0))</f>
        <v>0</v>
      </c>
      <c r="AN64" s="8" cm="1">
        <f t="array" ref="AN64">IF(OR(ISBLANK(DużRem),DużRem=0),0,IF(MOD(AN49,DużRem)=0,K_DużRem*IF(KosInf="Tak",PRODUCT(1+INDEX(ObszarInf,1,1):INDEX(ObszarInf,1,AN49-1)),1),0))</f>
        <v>0</v>
      </c>
      <c r="AO64" s="8" cm="1">
        <f t="array" ref="AO64">IF(OR(ISBLANK(DużRem),DużRem=0),0,IF(MOD(AO49,DużRem)=0,K_DużRem*IF(KosInf="Tak",PRODUCT(1+INDEX(ObszarInf,1,1):INDEX(ObszarInf,1,AO49-1)),1),0))</f>
        <v>0</v>
      </c>
      <c r="AP64" s="8" cm="1">
        <f t="array" ref="AP64">IF(OR(ISBLANK(DużRem),DużRem=0),0,IF(MOD(AP49,DużRem)=0,K_DużRem*IF(KosInf="Tak",PRODUCT(1+INDEX(ObszarInf,1,1):INDEX(ObszarInf,1,AP49-1)),1),0))</f>
        <v>0</v>
      </c>
      <c r="AQ64" s="8" cm="1">
        <f t="array" ref="AQ64">IF(OR(ISBLANK(DużRem),DużRem=0),0,IF(MOD(AQ49,DużRem)=0,K_DużRem*IF(KosInf="Tak",PRODUCT(1+INDEX(ObszarInf,1,1):INDEX(ObszarInf,1,AQ49-1)),1),0))</f>
        <v>0</v>
      </c>
      <c r="AR64" s="8" cm="1">
        <f t="array" ref="AR64">IF(OR(ISBLANK(DużRem),DużRem=0),0,IF(MOD(AR49,DużRem)=0,K_DużRem*IF(KosInf="Tak",PRODUCT(1+INDEX(ObszarInf,1,1):INDEX(ObszarInf,1,AR49-1)),1),0))</f>
        <v>0</v>
      </c>
      <c r="AS64" s="8" cm="1">
        <f t="array" ref="AS64">IF(OR(ISBLANK(DużRem),DużRem=0),0,IF(MOD(AS49,DużRem)=0,K_DużRem*IF(KosInf="Tak",PRODUCT(1+INDEX(ObszarInf,1,1):INDEX(ObszarInf,1,AS49-1)),1),0))</f>
        <v>0</v>
      </c>
      <c r="AT64" s="8" cm="1">
        <f t="array" ref="AT64">IF(OR(ISBLANK(DużRem),DużRem=0),0,IF(MOD(AT49,DużRem)=0,K_DużRem*IF(KosInf="Tak",PRODUCT(1+INDEX(ObszarInf,1,1):INDEX(ObszarInf,1,AT49-1)),1),0))</f>
        <v>0</v>
      </c>
      <c r="AU64" s="8" cm="1">
        <f t="array" ref="AU64">IF(OR(ISBLANK(DużRem),DużRem=0),0,IF(MOD(AU49,DużRem)=0,K_DużRem*IF(KosInf="Tak",PRODUCT(1+INDEX(ObszarInf,1,1):INDEX(ObszarInf,1,AU49-1)),1),0))</f>
        <v>0</v>
      </c>
      <c r="AV64" s="8" cm="1">
        <f t="array" ref="AV64">IF(OR(ISBLANK(DużRem),DużRem=0),0,IF(MOD(AV49,DużRem)=0,K_DużRem*IF(KosInf="Tak",PRODUCT(1+INDEX(ObszarInf,1,1):INDEX(ObszarInf,1,AV49-1)),1),0))</f>
        <v>0</v>
      </c>
      <c r="AW64" s="8" cm="1">
        <f t="array" ref="AW64">IF(OR(ISBLANK(DużRem),DużRem=0),0,IF(MOD(AW49,DużRem)=0,K_DużRem*IF(KosInf="Tak",PRODUCT(1+INDEX(ObszarInf,1,1):INDEX(ObszarInf,1,AW49-1)),1),0))</f>
        <v>0</v>
      </c>
      <c r="AX64" s="8" cm="1">
        <f t="array" ref="AX64">IF(OR(ISBLANK(DużRem),DużRem=0),0,IF(MOD(AX49,DużRem)=0,K_DużRem*IF(KosInf="Tak",PRODUCT(1+INDEX(ObszarInf,1,1):INDEX(ObszarInf,1,AX49-1)),1),0))</f>
        <v>0</v>
      </c>
      <c r="AY64" s="8" cm="1">
        <f t="array" ref="AY64">IF(OR(ISBLANK(DużRem),DużRem=0),0,IF(MOD(AY49,DużRem)=0,K_DużRem*IF(KosInf="Tak",PRODUCT(1+INDEX(ObszarInf,1,1):INDEX(ObszarInf,1,AY49-1)),1),0))</f>
        <v>0</v>
      </c>
      <c r="AZ64" s="8" cm="1">
        <f t="array" ref="AZ64">IF(OR(ISBLANK(DużRem),DużRem=0),0,IF(MOD(AZ49,DużRem)=0,K_DużRem*IF(KosInf="Tak",PRODUCT(1+INDEX(ObszarInf,1,1):INDEX(ObszarInf,1,AZ49-1)),1),0))</f>
        <v>0</v>
      </c>
      <c r="BA64" s="8" cm="1">
        <f t="array" ref="BA64">IF(OR(ISBLANK(DużRem),DużRem=0),0,IF(MOD(BA49,DużRem)=0,K_DużRem*IF(KosInf="Tak",PRODUCT(1+INDEX(ObszarInf,1,1):INDEX(ObszarInf,1,BA49-1)),1),0))</f>
        <v>0</v>
      </c>
      <c r="BB64"/>
    </row>
    <row r="65" spans="1:54">
      <c r="A65"/>
      <c r="B65" s="36" t="s">
        <v>220</v>
      </c>
      <c r="C65" s="105"/>
      <c r="D65" s="8" cm="1">
        <f t="array" ref="D65">IF(12-D55&gt;0, (12-D55) * Czynsz * IF(KosInf="Tak", PRODUCT(1+D$59:INDEX($D$59:D59, COLUMNS($D$59:D59)-1)), 1), 0)</f>
        <v>0</v>
      </c>
      <c r="E65" s="8" cm="1">
        <f t="array" ref="E65">IF(12-E55&gt;0, (12-E55) * Czynsz * IF(KosInf="Tak", PRODUCT(1+E$59:INDEX($D$59:E59, COLUMNS($D$59:E59)-1)), 1), 0)</f>
        <v>0</v>
      </c>
      <c r="F65" s="8" cm="1">
        <f t="array" ref="F65">IF(12-F55&gt;0, (12-F55) * Czynsz * IF(KosInf="Tak", PRODUCT(1+F$59:INDEX($D$59:F59, COLUMNS($D$59:F59)-1)), 1), 0)</f>
        <v>0</v>
      </c>
      <c r="G65" s="8" cm="1">
        <f t="array" ref="G65">IF(12-G55&gt;0, (12-G55) * Czynsz * IF(KosInf="Tak", PRODUCT(1+G$59:INDEX($D$59:G59, COLUMNS($D$59:G59)-1)), 1), 0)</f>
        <v>0</v>
      </c>
      <c r="H65" s="8" cm="1">
        <f t="array" ref="H65">IF(12-H55&gt;0, (12-H55) * Czynsz * IF(KosInf="Tak", PRODUCT(1+H$59:INDEX($D$59:H59, COLUMNS($D$59:H59)-1)), 1), 0)</f>
        <v>0</v>
      </c>
      <c r="I65" s="8" cm="1">
        <f t="array" ref="I65">IF(12-I55&gt;0, (12-I55) * Czynsz * IF(KosInf="Tak", PRODUCT(1+I$59:INDEX($D$59:I59, COLUMNS($D$59:I59)-1)), 1), 0)</f>
        <v>0</v>
      </c>
      <c r="J65" s="8" cm="1">
        <f t="array" ref="J65">IF(12-J55&gt;0, (12-J55) * Czynsz * IF(KosInf="Tak", PRODUCT(1+J$59:INDEX($D$59:J59, COLUMNS($D$59:J59)-1)), 1), 0)</f>
        <v>0</v>
      </c>
      <c r="K65" s="8" cm="1">
        <f t="array" ref="K65">IF(12-K55&gt;0, (12-K55) * Czynsz * IF(KosInf="Tak", PRODUCT(1+K$59:INDEX($D$59:K59, COLUMNS($D$59:K59)-1)), 1), 0)</f>
        <v>0</v>
      </c>
      <c r="L65" s="8" cm="1">
        <f t="array" ref="L65">IF(12-L55&gt;0, (12-L55) * Czynsz * IF(KosInf="Tak", PRODUCT(1+L$59:INDEX($D$59:L59, COLUMNS($D$59:L59)-1)), 1), 0)</f>
        <v>0</v>
      </c>
      <c r="M65" s="8" cm="1">
        <f t="array" ref="M65">IF(12-M55&gt;0, (12-M55) * Czynsz * IF(KosInf="Tak", PRODUCT(1+M$59:INDEX($D$59:M59, COLUMNS($D$59:M59)-1)), 1), 0)</f>
        <v>0</v>
      </c>
      <c r="N65" s="8" cm="1">
        <f t="array" ref="N65">IF(12-N55&gt;0, (12-N55) * Czynsz * IF(KosInf="Tak", PRODUCT(1+N$59:INDEX($D$59:N59, COLUMNS($D$59:N59)-1)), 1), 0)</f>
        <v>0</v>
      </c>
      <c r="O65" s="8" cm="1">
        <f t="array" ref="O65">IF(12-O55&gt;0, (12-O55) * Czynsz * IF(KosInf="Tak", PRODUCT(1+O$59:INDEX($D$59:O59, COLUMNS($D$59:O59)-1)), 1), 0)</f>
        <v>0</v>
      </c>
      <c r="P65" s="8" cm="1">
        <f t="array" ref="P65">IF(12-P55&gt;0, (12-P55) * Czynsz * IF(KosInf="Tak", PRODUCT(1+P$59:INDEX($D$59:P59, COLUMNS($D$59:P59)-1)), 1), 0)</f>
        <v>0</v>
      </c>
      <c r="Q65" s="8" cm="1">
        <f t="array" ref="Q65">IF(12-Q55&gt;0, (12-Q55) * Czynsz * IF(KosInf="Tak", PRODUCT(1+Q$59:INDEX($D$59:Q59, COLUMNS($D$59:Q59)-1)), 1), 0)</f>
        <v>0</v>
      </c>
      <c r="R65" s="8" cm="1">
        <f t="array" ref="R65">IF(12-R55&gt;0, (12-R55) * Czynsz * IF(KosInf="Tak", PRODUCT(1+R$59:INDEX($D$59:R59, COLUMNS($D$59:R59)-1)), 1), 0)</f>
        <v>0</v>
      </c>
      <c r="S65" s="8" cm="1">
        <f t="array" ref="S65">IF(12-S55&gt;0, (12-S55) * Czynsz * IF(KosInf="Tak", PRODUCT(1+S$59:INDEX($D$59:S59, COLUMNS($D$59:S59)-1)), 1), 0)</f>
        <v>0</v>
      </c>
      <c r="T65" s="8" cm="1">
        <f t="array" ref="T65">IF(12-T55&gt;0, (12-T55) * Czynsz * IF(KosInf="Tak", PRODUCT(1+T$59:INDEX($D$59:T59, COLUMNS($D$59:T59)-1)), 1), 0)</f>
        <v>0</v>
      </c>
      <c r="U65" s="8" cm="1">
        <f t="array" ref="U65">IF(12-U55&gt;0, (12-U55) * Czynsz * IF(KosInf="Tak", PRODUCT(1+U$59:INDEX($D$59:U59, COLUMNS($D$59:U59)-1)), 1), 0)</f>
        <v>0</v>
      </c>
      <c r="V65" s="8" cm="1">
        <f t="array" ref="V65">IF(12-V55&gt;0, (12-V55) * Czynsz * IF(KosInf="Tak", PRODUCT(1+V$59:INDEX($D$59:V59, COLUMNS($D$59:V59)-1)), 1), 0)</f>
        <v>0</v>
      </c>
      <c r="W65" s="8" cm="1">
        <f t="array" ref="W65">IF(12-W55&gt;0, (12-W55) * Czynsz * IF(KosInf="Tak", PRODUCT(1+W$59:INDEX($D$59:W59, COLUMNS($D$59:W59)-1)), 1), 0)</f>
        <v>0</v>
      </c>
      <c r="X65" s="8" cm="1">
        <f t="array" ref="X65">IF(12-X55&gt;0, (12-X55) * Czynsz * IF(KosInf="Tak", PRODUCT(1+X$59:INDEX($D$59:X59, COLUMNS($D$59:X59)-1)), 1), 0)</f>
        <v>0</v>
      </c>
      <c r="Y65" s="8" cm="1">
        <f t="array" ref="Y65">IF(12-Y55&gt;0, (12-Y55) * Czynsz * IF(KosInf="Tak", PRODUCT(1+Y$59:INDEX($D$59:Y59, COLUMNS($D$59:Y59)-1)), 1), 0)</f>
        <v>0</v>
      </c>
      <c r="Z65" s="8" cm="1">
        <f t="array" ref="Z65">IF(12-Z55&gt;0, (12-Z55) * Czynsz * IF(KosInf="Tak", PRODUCT(1+Z$59:INDEX($D$59:Z59, COLUMNS($D$59:Z59)-1)), 1), 0)</f>
        <v>0</v>
      </c>
      <c r="AA65" s="8" cm="1">
        <f t="array" ref="AA65">IF(12-AA55&gt;0, (12-AA55) * Czynsz * IF(KosInf="Tak", PRODUCT(1+AA$59:INDEX($D$59:AA59, COLUMNS($D$59:AA59)-1)), 1), 0)</f>
        <v>0</v>
      </c>
      <c r="AB65" s="8" cm="1">
        <f t="array" ref="AB65">IF(12-AB55&gt;0, (12-AB55) * Czynsz * IF(KosInf="Tak", PRODUCT(1+AB$59:INDEX($D$59:AB59, COLUMNS($D$59:AB59)-1)), 1), 0)</f>
        <v>0</v>
      </c>
      <c r="AC65" s="8" cm="1">
        <f t="array" ref="AC65">IF(12-AC55&gt;0, (12-AC55) * Czynsz * IF(KosInf="Tak", PRODUCT(1+AC$59:INDEX($D$59:AC59, COLUMNS($D$59:AC59)-1)), 1), 0)</f>
        <v>0</v>
      </c>
      <c r="AD65" s="8" cm="1">
        <f t="array" ref="AD65">IF(12-AD55&gt;0, (12-AD55) * Czynsz * IF(KosInf="Tak", PRODUCT(1+AD$59:INDEX($D$59:AD59, COLUMNS($D$59:AD59)-1)), 1), 0)</f>
        <v>0</v>
      </c>
      <c r="AE65" s="8" cm="1">
        <f t="array" ref="AE65">IF(12-AE55&gt;0, (12-AE55) * Czynsz * IF(KosInf="Tak", PRODUCT(1+AE$59:INDEX($D$59:AE59, COLUMNS($D$59:AE59)-1)), 1), 0)</f>
        <v>0</v>
      </c>
      <c r="AF65" s="8" cm="1">
        <f t="array" ref="AF65">IF(12-AF55&gt;0, (12-AF55) * Czynsz * IF(KosInf="Tak", PRODUCT(1+AF$59:INDEX($D$59:AF59, COLUMNS($D$59:AF59)-1)), 1), 0)</f>
        <v>0</v>
      </c>
      <c r="AG65" s="8" cm="1">
        <f t="array" ref="AG65">IF(12-AG55&gt;0, (12-AG55) * Czynsz * IF(KosInf="Tak", PRODUCT(1+AG$59:INDEX($D$59:AG59, COLUMNS($D$59:AG59)-1)), 1), 0)</f>
        <v>0</v>
      </c>
      <c r="AH65" s="8" cm="1">
        <f t="array" ref="AH65">IF(12-AH55&gt;0, (12-AH55) * Czynsz * IF(KosInf="Tak", PRODUCT(1+AH$59:INDEX($D$59:AH59, COLUMNS($D$59:AH59)-1)), 1), 0)</f>
        <v>0</v>
      </c>
      <c r="AI65" s="8" cm="1">
        <f t="array" ref="AI65">IF(12-AI55&gt;0, (12-AI55) * Czynsz * IF(KosInf="Tak", PRODUCT(1+AI$59:INDEX($D$59:AI59, COLUMNS($D$59:AI59)-1)), 1), 0)</f>
        <v>0</v>
      </c>
      <c r="AJ65" s="8" cm="1">
        <f t="array" ref="AJ65">IF(12-AJ55&gt;0, (12-AJ55) * Czynsz * IF(KosInf="Tak", PRODUCT(1+AJ$59:INDEX($D$59:AJ59, COLUMNS($D$59:AJ59)-1)), 1), 0)</f>
        <v>0</v>
      </c>
      <c r="AK65" s="8" cm="1">
        <f t="array" ref="AK65">IF(12-AK55&gt;0, (12-AK55) * Czynsz * IF(KosInf="Tak", PRODUCT(1+AK$59:INDEX($D$59:AK59, COLUMNS($D$59:AK59)-1)), 1), 0)</f>
        <v>0</v>
      </c>
      <c r="AL65" s="8" cm="1">
        <f t="array" ref="AL65">IF(12-AL55&gt;0, (12-AL55) * Czynsz * IF(KosInf="Tak", PRODUCT(1+AL$59:INDEX($D$59:AL59, COLUMNS($D$59:AL59)-1)), 1), 0)</f>
        <v>0</v>
      </c>
      <c r="AM65" s="8" cm="1">
        <f t="array" ref="AM65">IF(12-AM55&gt;0, (12-AM55) * Czynsz * IF(KosInf="Tak", PRODUCT(1+AM$59:INDEX($D$59:AM59, COLUMNS($D$59:AM59)-1)), 1), 0)</f>
        <v>0</v>
      </c>
      <c r="AN65" s="8" cm="1">
        <f t="array" ref="AN65">IF(12-AN55&gt;0, (12-AN55) * Czynsz * IF(KosInf="Tak", PRODUCT(1+AN$59:INDEX($D$59:AN59, COLUMNS($D$59:AN59)-1)), 1), 0)</f>
        <v>0</v>
      </c>
      <c r="AO65" s="8" cm="1">
        <f t="array" ref="AO65">IF(12-AO55&gt;0, (12-AO55) * Czynsz * IF(KosInf="Tak", PRODUCT(1+AO$59:INDEX($D$59:AO59, COLUMNS($D$59:AO59)-1)), 1), 0)</f>
        <v>0</v>
      </c>
      <c r="AP65" s="8" cm="1">
        <f t="array" ref="AP65">IF(12-AP55&gt;0, (12-AP55) * Czynsz * IF(KosInf="Tak", PRODUCT(1+AP$59:INDEX($D$59:AP59, COLUMNS($D$59:AP59)-1)), 1), 0)</f>
        <v>0</v>
      </c>
      <c r="AQ65" s="8" cm="1">
        <f t="array" ref="AQ65">IF(12-AQ55&gt;0, (12-AQ55) * Czynsz * IF(KosInf="Tak", PRODUCT(1+AQ$59:INDEX($D$59:AQ59, COLUMNS($D$59:AQ59)-1)), 1), 0)</f>
        <v>0</v>
      </c>
      <c r="AR65" s="8" cm="1">
        <f t="array" ref="AR65">IF(12-AR55&gt;0, (12-AR55) * Czynsz * IF(KosInf="Tak", PRODUCT(1+AR$59:INDEX($D$59:AR59, COLUMNS($D$59:AR59)-1)), 1), 0)</f>
        <v>0</v>
      </c>
      <c r="AS65" s="8" cm="1">
        <f t="array" ref="AS65">IF(12-AS55&gt;0, (12-AS55) * Czynsz * IF(KosInf="Tak", PRODUCT(1+AS$59:INDEX($D$59:AS59, COLUMNS($D$59:AS59)-1)), 1), 0)</f>
        <v>0</v>
      </c>
      <c r="AT65" s="8" cm="1">
        <f t="array" ref="AT65">IF(12-AT55&gt;0, (12-AT55) * Czynsz * IF(KosInf="Tak", PRODUCT(1+AT$59:INDEX($D$59:AT59, COLUMNS($D$59:AT59)-1)), 1), 0)</f>
        <v>0</v>
      </c>
      <c r="AU65" s="8" cm="1">
        <f t="array" ref="AU65">IF(12-AU55&gt;0, (12-AU55) * Czynsz * IF(KosInf="Tak", PRODUCT(1+AU$59:INDEX($D$59:AU59, COLUMNS($D$59:AU59)-1)), 1), 0)</f>
        <v>0</v>
      </c>
      <c r="AV65" s="8" cm="1">
        <f t="array" ref="AV65">IF(12-AV55&gt;0, (12-AV55) * Czynsz * IF(KosInf="Tak", PRODUCT(1+AV$59:INDEX($D$59:AV59, COLUMNS($D$59:AV59)-1)), 1), 0)</f>
        <v>0</v>
      </c>
      <c r="AW65" s="8" cm="1">
        <f t="array" ref="AW65">IF(12-AW55&gt;0, (12-AW55) * Czynsz * IF(KosInf="Tak", PRODUCT(1+AW$59:INDEX($D$59:AW59, COLUMNS($D$59:AW59)-1)), 1), 0)</f>
        <v>0</v>
      </c>
      <c r="AX65" s="8" cm="1">
        <f t="array" ref="AX65">IF(12-AX55&gt;0, (12-AX55) * Czynsz * IF(KosInf="Tak", PRODUCT(1+AX$59:INDEX($D$59:AX59, COLUMNS($D$59:AX59)-1)), 1), 0)</f>
        <v>0</v>
      </c>
      <c r="AY65" s="8" cm="1">
        <f t="array" ref="AY65">IF(12-AY55&gt;0, (12-AY55) * Czynsz * IF(KosInf="Tak", PRODUCT(1+AY$59:INDEX($D$59:AY59, COLUMNS($D$59:AY59)-1)), 1), 0)</f>
        <v>0</v>
      </c>
      <c r="AZ65" s="8" cm="1">
        <f t="array" ref="AZ65">IF(12-AZ55&gt;0, (12-AZ55) * Czynsz * IF(KosInf="Tak", PRODUCT(1+AZ$59:INDEX($D$59:AZ59, COLUMNS($D$59:AZ59)-1)), 1), 0)</f>
        <v>0</v>
      </c>
      <c r="BA65" s="8" cm="1">
        <f t="array" ref="BA65">IF(12-BA55&gt;0, (12-BA55) * Czynsz * IF(KosInf="Tak", PRODUCT(1+BA$59:INDEX($D$59:BA59, COLUMNS($D$59:BA59)-1)), 1), 0)</f>
        <v>0</v>
      </c>
      <c r="BB65"/>
    </row>
    <row r="66" spans="1:54">
      <c r="A66"/>
      <c r="B66" s="36" t="s">
        <v>221</v>
      </c>
      <c r="C66" s="105"/>
      <c r="D66" s="16">
        <f>SUMIF(Kredyt!$E:$E,'Wynik '!D49,Kredyt!$I:$I)</f>
        <v>12951.876476284799</v>
      </c>
      <c r="E66" s="16">
        <f>SUMIF(Kredyt!$E:$E,'Wynik '!E49,Kredyt!$I:$I)</f>
        <v>12718.80586859204</v>
      </c>
      <c r="F66" s="16">
        <f>SUMIF(Kredyt!$E:$E,'Wynik '!F49,Kredyt!$I:$I)</f>
        <v>12476.23960473262</v>
      </c>
      <c r="G66" s="16">
        <f>SUMIF(Kredyt!$E:$E,'Wynik '!G49,Kredyt!$I:$I)</f>
        <v>12223.790817023282</v>
      </c>
      <c r="H66" s="16">
        <f>SUMIF(Kredyt!$E:$E,'Wynik '!H49,Kredyt!$I:$I)</f>
        <v>11961.056876194436</v>
      </c>
      <c r="I66" s="16">
        <f>SUMIF(Kredyt!$E:$E,'Wynik '!I49,Kredyt!$I:$I)</f>
        <v>11687.618749238825</v>
      </c>
      <c r="J66" s="16">
        <f>SUMIF(Kredyt!$E:$E,'Wynik '!J49,Kredyt!$I:$I)</f>
        <v>11403.040331097945</v>
      </c>
      <c r="K66" s="16">
        <f>SUMIF(Kredyt!$E:$E,'Wynik '!K49,Kredyt!$I:$I)</f>
        <v>11106.867749120334</v>
      </c>
      <c r="L66" s="16">
        <f>SUMIF(Kredyt!$E:$E,'Wynik '!L49,Kredyt!$I:$I)</f>
        <v>10798.628639182418</v>
      </c>
      <c r="M66" s="16">
        <f>SUMIF(Kredyt!$E:$E,'Wynik '!M49,Kredyt!$I:$I)</f>
        <v>10477.831392317406</v>
      </c>
      <c r="N66" s="16">
        <f>SUMIF(Kredyt!$E:$E,'Wynik '!N49,Kredyt!$I:$I)</f>
        <v>10143.964370650694</v>
      </c>
      <c r="O66" s="16">
        <f>SUMIF(Kredyt!$E:$E,'Wynik '!O49,Kredyt!$I:$I)</f>
        <v>9796.4950913912435</v>
      </c>
      <c r="P66" s="16">
        <f>SUMIF(Kredyt!$E:$E,'Wynik '!P49,Kredyt!$I:$I)</f>
        <v>9434.8693775775373</v>
      </c>
      <c r="Q66" s="16">
        <f>SUMIF(Kredyt!$E:$E,'Wynik '!Q49,Kredyt!$I:$I)</f>
        <v>9058.5104742235908</v>
      </c>
      <c r="R66" s="16">
        <f>SUMIF(Kredyt!$E:$E,'Wynik '!R49,Kredyt!$I:$I)</f>
        <v>8666.8181284554048</v>
      </c>
      <c r="S66" s="16">
        <f>SUMIF(Kredyt!$E:$E,'Wynik '!S49,Kredyt!$I:$I)</f>
        <v>8259.1676321707491</v>
      </c>
      <c r="T66" s="16">
        <f>SUMIF(Kredyt!$E:$E,'Wynik '!T49,Kredyt!$I:$I)</f>
        <v>7834.9088256954392</v>
      </c>
      <c r="U66" s="16">
        <f>SUMIF(Kredyt!$E:$E,'Wynik '!U49,Kredyt!$I:$I)</f>
        <v>7393.365060847017</v>
      </c>
      <c r="V66" s="16">
        <f>SUMIF(Kredyt!$E:$E,'Wynik '!V49,Kredyt!$I:$I)</f>
        <v>6933.8321217520579</v>
      </c>
      <c r="W66" s="16">
        <f>SUMIF(Kredyt!$E:$E,'Wynik '!W49,Kredyt!$I:$I)</f>
        <v>6455.5771016959052</v>
      </c>
      <c r="X66" s="16">
        <f>SUMIF(Kredyt!$E:$E,'Wynik '!X49,Kredyt!$I:$I)</f>
        <v>5957.8372342135281</v>
      </c>
      <c r="Y66" s="16">
        <f>SUMIF(Kredyt!$E:$E,'Wynik '!Y49,Kredyt!$I:$I)</f>
        <v>5439.8186765572282</v>
      </c>
      <c r="Z66" s="16">
        <f>SUMIF(Kredyt!$E:$E,'Wynik '!Z49,Kredyt!$I:$I)</f>
        <v>4900.6952436009269</v>
      </c>
      <c r="AA66" s="16">
        <f>SUMIF(Kredyt!$E:$E,'Wynik '!AA49,Kredyt!$I:$I)</f>
        <v>4339.6070901617722</v>
      </c>
      <c r="AB66" s="16">
        <f>SUMIF(Kredyt!$E:$E,'Wynik '!AB49,Kredyt!$I:$I)</f>
        <v>3755.6593396374901</v>
      </c>
      <c r="AC66" s="16">
        <f>SUMIF(Kredyt!$E:$E,'Wynik '!AC49,Kredyt!$I:$I)</f>
        <v>3147.9206567723077</v>
      </c>
      <c r="AD66" s="16">
        <f>SUMIF(Kredyt!$E:$E,'Wynik '!AD49,Kredyt!$I:$I)</f>
        <v>2515.4217622751576</v>
      </c>
      <c r="AE66" s="16">
        <f>SUMIF(Kredyt!$E:$E,'Wynik '!AE49,Kredyt!$I:$I)</f>
        <v>1857.1538869211331</v>
      </c>
      <c r="AF66" s="16">
        <f>SUMIF(Kredyt!$E:$E,'Wynik '!AF49,Kredyt!$I:$I)</f>
        <v>1172.067162670653</v>
      </c>
      <c r="AG66" s="16">
        <f>SUMIF(Kredyt!$E:$E,'Wynik '!AG49,Kredyt!$I:$I)</f>
        <v>459.0689482403443</v>
      </c>
      <c r="AH66" s="16">
        <f>SUMIF(Kredyt!$E:$E,'Wynik '!AH49,Kredyt!$I:$I)</f>
        <v>5.1695979632734179</v>
      </c>
      <c r="AI66" s="16">
        <f>SUMIF(Kredyt!$E:$E,'Wynik '!AI49,Kredyt!$I:$I)</f>
        <v>0</v>
      </c>
      <c r="AJ66" s="16">
        <f>SUMIF(Kredyt!$E:$E,'Wynik '!AJ49,Kredyt!$I:$I)</f>
        <v>0</v>
      </c>
      <c r="AK66" s="16">
        <f>SUMIF(Kredyt!$E:$E,'Wynik '!AK49,Kredyt!$I:$I)</f>
        <v>0</v>
      </c>
      <c r="AL66" s="16">
        <f>SUMIF(Kredyt!$E:$E,'Wynik '!AL49,Kredyt!$I:$I)</f>
        <v>0</v>
      </c>
      <c r="AM66" s="16">
        <f>SUMIF(Kredyt!$E:$E,'Wynik '!AM49,Kredyt!$I:$I)</f>
        <v>0</v>
      </c>
      <c r="AN66" s="16">
        <f>SUMIF(Kredyt!$E:$E,'Wynik '!AN49,Kredyt!$I:$I)</f>
        <v>0</v>
      </c>
      <c r="AO66" s="16">
        <f>SUMIF(Kredyt!$E:$E,'Wynik '!AO49,Kredyt!$I:$I)</f>
        <v>0</v>
      </c>
      <c r="AP66" s="16">
        <f>SUMIF(Kredyt!$E:$E,'Wynik '!AP49,Kredyt!$I:$I)</f>
        <v>0</v>
      </c>
      <c r="AQ66" s="16">
        <f>SUMIF(Kredyt!$E:$E,'Wynik '!AQ49,Kredyt!$I:$I)</f>
        <v>0</v>
      </c>
      <c r="AR66" s="16">
        <f>SUMIF(Kredyt!$E:$E,'Wynik '!AR49,Kredyt!$I:$I)</f>
        <v>0</v>
      </c>
      <c r="AS66" s="16">
        <f>SUMIF(Kredyt!$E:$E,'Wynik '!AS49,Kredyt!$I:$I)</f>
        <v>0</v>
      </c>
      <c r="AT66" s="16">
        <f>SUMIF(Kredyt!$E:$E,'Wynik '!AT49,Kredyt!$I:$I)</f>
        <v>0</v>
      </c>
      <c r="AU66" s="16">
        <f>SUMIF(Kredyt!$E:$E,'Wynik '!AU49,Kredyt!$I:$I)</f>
        <v>0</v>
      </c>
      <c r="AV66" s="16">
        <f>SUMIF(Kredyt!$E:$E,'Wynik '!AV49,Kredyt!$I:$I)</f>
        <v>0</v>
      </c>
      <c r="AW66" s="16">
        <f>SUMIF(Kredyt!$E:$E,'Wynik '!AW49,Kredyt!$I:$I)</f>
        <v>0</v>
      </c>
      <c r="AX66" s="16">
        <f>SUMIF(Kredyt!$E:$E,'Wynik '!AX49,Kredyt!$I:$I)</f>
        <v>0</v>
      </c>
      <c r="AY66" s="16">
        <f>SUMIF(Kredyt!$E:$E,'Wynik '!AY49,Kredyt!$I:$I)</f>
        <v>0</v>
      </c>
      <c r="AZ66" s="16">
        <f>SUMIF(Kredyt!$E:$E,'Wynik '!AZ49,Kredyt!$I:$I)</f>
        <v>0</v>
      </c>
      <c r="BA66" s="16">
        <f>SUMIF(Kredyt!$E:$E,'Wynik '!BA49,Kredyt!$I:$I)</f>
        <v>0</v>
      </c>
      <c r="BB66"/>
    </row>
    <row r="67" spans="1:54">
      <c r="A67"/>
      <c r="B67" s="36" t="s">
        <v>222</v>
      </c>
      <c r="C67" s="105"/>
      <c r="D67" s="8">
        <f>SUMIF(Kredyt!$E:$E,'Wynik '!D49,Kredyt!$J:$J)</f>
        <v>5720.7113670589424</v>
      </c>
      <c r="E67" s="8">
        <f>SUMIF(Kredyt!$E:$E,'Wynik '!E49,Kredyt!$J:$J)</f>
        <v>5953.7819747517042</v>
      </c>
      <c r="F67" s="8">
        <f>SUMIF(Kredyt!$E:$E,'Wynik '!F49,Kredyt!$J:$J)</f>
        <v>6196.3482386111209</v>
      </c>
      <c r="G67" s="8">
        <f>SUMIF(Kredyt!$E:$E,'Wynik '!G49,Kredyt!$J:$J)</f>
        <v>6448.7970263204561</v>
      </c>
      <c r="H67" s="8">
        <f>SUMIF(Kredyt!$E:$E,'Wynik '!H49,Kredyt!$J:$J)</f>
        <v>6711.5309671493042</v>
      </c>
      <c r="I67" s="8">
        <f>SUMIF(Kredyt!$E:$E,'Wynik '!I49,Kredyt!$J:$J)</f>
        <v>6984.9690941049139</v>
      </c>
      <c r="J67" s="8">
        <f>SUMIF(Kredyt!$E:$E,'Wynik '!J49,Kredyt!$J:$J)</f>
        <v>7269.5475122457938</v>
      </c>
      <c r="K67" s="8">
        <f>SUMIF(Kredyt!$E:$E,'Wynik '!K49,Kredyt!$J:$J)</f>
        <v>7565.7200942234067</v>
      </c>
      <c r="L67" s="8">
        <f>SUMIF(Kredyt!$E:$E,'Wynik '!L49,Kredyt!$J:$J)</f>
        <v>7873.9592041613241</v>
      </c>
      <c r="M67" s="8">
        <f>SUMIF(Kredyt!$E:$E,'Wynik '!M49,Kredyt!$J:$J)</f>
        <v>8194.7564510263346</v>
      </c>
      <c r="N67" s="8">
        <f>SUMIF(Kredyt!$E:$E,'Wynik '!N49,Kredyt!$J:$J)</f>
        <v>8528.6234726930488</v>
      </c>
      <c r="O67" s="8">
        <f>SUMIF(Kredyt!$E:$E,'Wynik '!O49,Kredyt!$J:$J)</f>
        <v>8876.0927519524957</v>
      </c>
      <c r="P67" s="8">
        <f>SUMIF(Kredyt!$E:$E,'Wynik '!P49,Kredyt!$J:$J)</f>
        <v>9237.7184657662037</v>
      </c>
      <c r="Q67" s="8">
        <f>SUMIF(Kredyt!$E:$E,'Wynik '!Q49,Kredyt!$J:$J)</f>
        <v>9614.0773691201521</v>
      </c>
      <c r="R67" s="8">
        <f>SUMIF(Kredyt!$E:$E,'Wynik '!R49,Kredyt!$J:$J)</f>
        <v>10005.769714888336</v>
      </c>
      <c r="S67" s="8">
        <f>SUMIF(Kredyt!$E:$E,'Wynik '!S49,Kredyt!$J:$J)</f>
        <v>10413.420211172994</v>
      </c>
      <c r="T67" s="8">
        <f>SUMIF(Kredyt!$E:$E,'Wynik '!T49,Kredyt!$J:$J)</f>
        <v>10837.679017648303</v>
      </c>
      <c r="U67" s="8">
        <f>SUMIF(Kredyt!$E:$E,'Wynik '!U49,Kredyt!$J:$J)</f>
        <v>11279.222782496723</v>
      </c>
      <c r="V67" s="8">
        <f>SUMIF(Kredyt!$E:$E,'Wynik '!V49,Kredyt!$J:$J)</f>
        <v>11738.755721591682</v>
      </c>
      <c r="W67" s="8">
        <f>SUMIF(Kredyt!$E:$E,'Wynik '!W49,Kredyt!$J:$J)</f>
        <v>12217.010741647837</v>
      </c>
      <c r="X67" s="8">
        <f>SUMIF(Kredyt!$E:$E,'Wynik '!X49,Kredyt!$J:$J)</f>
        <v>12714.750609130215</v>
      </c>
      <c r="Y67" s="8">
        <f>SUMIF(Kredyt!$E:$E,'Wynik '!Y49,Kredyt!$J:$J)</f>
        <v>13232.769166786513</v>
      </c>
      <c r="Z67" s="8">
        <f>SUMIF(Kredyt!$E:$E,'Wynik '!Z49,Kredyt!$J:$J)</f>
        <v>13771.892599742812</v>
      </c>
      <c r="AA67" s="8">
        <f>SUMIF(Kredyt!$E:$E,'Wynik '!AA49,Kredyt!$J:$J)</f>
        <v>14332.980753181972</v>
      </c>
      <c r="AB67" s="8">
        <f>SUMIF(Kredyt!$E:$E,'Wynik '!AB49,Kredyt!$J:$J)</f>
        <v>14916.928503706251</v>
      </c>
      <c r="AC67" s="8">
        <f>SUMIF(Kredyt!$E:$E,'Wynik '!AC49,Kredyt!$J:$J)</f>
        <v>15524.667186571434</v>
      </c>
      <c r="AD67" s="8">
        <f>SUMIF(Kredyt!$E:$E,'Wynik '!AD49,Kredyt!$J:$J)</f>
        <v>16157.166081068581</v>
      </c>
      <c r="AE67" s="8">
        <f>SUMIF(Kredyt!$E:$E,'Wynik '!AE49,Kredyt!$J:$J)</f>
        <v>16815.43395642261</v>
      </c>
      <c r="AF67" s="8">
        <f>SUMIF(Kredyt!$E:$E,'Wynik '!AF49,Kredyt!$J:$J)</f>
        <v>17500.520680673086</v>
      </c>
      <c r="AG67" s="8">
        <f>SUMIF(Kredyt!$E:$E,'Wynik '!AG49,Kredyt!$J:$J)</f>
        <v>18213.518895103396</v>
      </c>
      <c r="AH67" s="8">
        <f>SUMIF(Kredyt!$E:$E,'Wynik '!AH49,Kredyt!$J:$J)</f>
        <v>1550.8793889820383</v>
      </c>
      <c r="AI67" s="8">
        <f>SUMIF(Kredyt!$E:$E,'Wynik '!AI49,Kredyt!$J:$J)</f>
        <v>0</v>
      </c>
      <c r="AJ67" s="8">
        <f>SUMIF(Kredyt!$E:$E,'Wynik '!AJ49,Kredyt!$J:$J)</f>
        <v>0</v>
      </c>
      <c r="AK67" s="8">
        <f>SUMIF(Kredyt!$E:$E,'Wynik '!AK49,Kredyt!$J:$J)</f>
        <v>0</v>
      </c>
      <c r="AL67" s="8">
        <f>SUMIF(Kredyt!$E:$E,'Wynik '!AL49,Kredyt!$J:$J)</f>
        <v>0</v>
      </c>
      <c r="AM67" s="8">
        <f>SUMIF(Kredyt!$E:$E,'Wynik '!AM49,Kredyt!$J:$J)</f>
        <v>0</v>
      </c>
      <c r="AN67" s="8">
        <f>SUMIF(Kredyt!$E:$E,'Wynik '!AN49,Kredyt!$J:$J)</f>
        <v>0</v>
      </c>
      <c r="AO67" s="8">
        <f>SUMIF(Kredyt!$E:$E,'Wynik '!AO49,Kredyt!$J:$J)</f>
        <v>0</v>
      </c>
      <c r="AP67" s="8">
        <f>SUMIF(Kredyt!$E:$E,'Wynik '!AP49,Kredyt!$J:$J)</f>
        <v>0</v>
      </c>
      <c r="AQ67" s="8">
        <f>SUMIF(Kredyt!$E:$E,'Wynik '!AQ49,Kredyt!$J:$J)</f>
        <v>0</v>
      </c>
      <c r="AR67" s="8">
        <f>SUMIF(Kredyt!$E:$E,'Wynik '!AR49,Kredyt!$J:$J)</f>
        <v>0</v>
      </c>
      <c r="AS67" s="8">
        <f>SUMIF(Kredyt!$E:$E,'Wynik '!AS49,Kredyt!$J:$J)</f>
        <v>0</v>
      </c>
      <c r="AT67" s="8">
        <f>SUMIF(Kredyt!$E:$E,'Wynik '!AT49,Kredyt!$J:$J)</f>
        <v>0</v>
      </c>
      <c r="AU67" s="8">
        <f>SUMIF(Kredyt!$E:$E,'Wynik '!AU49,Kredyt!$J:$J)</f>
        <v>0</v>
      </c>
      <c r="AV67" s="8">
        <f>SUMIF(Kredyt!$E:$E,'Wynik '!AV49,Kredyt!$J:$J)</f>
        <v>0</v>
      </c>
      <c r="AW67" s="8">
        <f>SUMIF(Kredyt!$E:$E,'Wynik '!AW49,Kredyt!$J:$J)</f>
        <v>0</v>
      </c>
      <c r="AX67" s="8">
        <f>SUMIF(Kredyt!$E:$E,'Wynik '!AX49,Kredyt!$J:$J)</f>
        <v>0</v>
      </c>
      <c r="AY67" s="8">
        <f>SUMIF(Kredyt!$E:$E,'Wynik '!AY49,Kredyt!$J:$J)</f>
        <v>0</v>
      </c>
      <c r="AZ67" s="8">
        <f>SUMIF(Kredyt!$E:$E,'Wynik '!AZ49,Kredyt!$J:$J)</f>
        <v>0</v>
      </c>
      <c r="BA67" s="8">
        <f>SUMIF(Kredyt!$E:$E,'Wynik '!BA49,Kredyt!$J:$J)</f>
        <v>0</v>
      </c>
      <c r="BB67"/>
    </row>
    <row r="68" spans="1:54">
      <c r="A68"/>
      <c r="B68" s="36" t="s">
        <v>223</v>
      </c>
      <c r="C68" s="105"/>
      <c r="D68" s="4">
        <f>D66+D67</f>
        <v>18672.587843343739</v>
      </c>
      <c r="E68" s="4">
        <f t="shared" ref="E68:AM68" si="2">E66+E67</f>
        <v>18672.587843343746</v>
      </c>
      <c r="F68" s="4">
        <f t="shared" si="2"/>
        <v>18672.587843343739</v>
      </c>
      <c r="G68" s="4">
        <f t="shared" si="2"/>
        <v>18672.587843343739</v>
      </c>
      <c r="H68" s="4">
        <f t="shared" si="2"/>
        <v>18672.587843343739</v>
      </c>
      <c r="I68" s="4">
        <f t="shared" si="2"/>
        <v>18672.587843343739</v>
      </c>
      <c r="J68" s="4">
        <f t="shared" si="2"/>
        <v>18672.587843343739</v>
      </c>
      <c r="K68" s="4">
        <f t="shared" si="2"/>
        <v>18672.587843343739</v>
      </c>
      <c r="L68" s="4">
        <f t="shared" si="2"/>
        <v>18672.587843343743</v>
      </c>
      <c r="M68" s="4">
        <f t="shared" si="2"/>
        <v>18672.587843343739</v>
      </c>
      <c r="N68" s="4">
        <f t="shared" si="2"/>
        <v>18672.587843343743</v>
      </c>
      <c r="O68" s="4">
        <f t="shared" si="2"/>
        <v>18672.587843343739</v>
      </c>
      <c r="P68" s="4">
        <f t="shared" si="2"/>
        <v>18672.587843343739</v>
      </c>
      <c r="Q68" s="4">
        <f t="shared" si="2"/>
        <v>18672.587843343743</v>
      </c>
      <c r="R68" s="4">
        <f t="shared" si="2"/>
        <v>18672.587843343739</v>
      </c>
      <c r="S68" s="4">
        <f t="shared" si="2"/>
        <v>18672.587843343743</v>
      </c>
      <c r="T68" s="4">
        <f t="shared" si="2"/>
        <v>18672.587843343743</v>
      </c>
      <c r="U68" s="4">
        <f t="shared" si="2"/>
        <v>18672.587843343739</v>
      </c>
      <c r="V68" s="4">
        <f t="shared" si="2"/>
        <v>18672.587843343739</v>
      </c>
      <c r="W68" s="4">
        <f t="shared" si="2"/>
        <v>18672.587843343743</v>
      </c>
      <c r="X68" s="4">
        <f t="shared" si="2"/>
        <v>18672.587843343743</v>
      </c>
      <c r="Y68" s="4">
        <f t="shared" si="2"/>
        <v>18672.587843343739</v>
      </c>
      <c r="Z68" s="4">
        <f t="shared" si="2"/>
        <v>18672.587843343739</v>
      </c>
      <c r="AA68" s="4">
        <f t="shared" si="2"/>
        <v>18672.587843343743</v>
      </c>
      <c r="AB68" s="4">
        <f t="shared" si="2"/>
        <v>18672.587843343739</v>
      </c>
      <c r="AC68" s="4">
        <f t="shared" si="2"/>
        <v>18672.587843343743</v>
      </c>
      <c r="AD68" s="4">
        <f t="shared" si="2"/>
        <v>18672.587843343739</v>
      </c>
      <c r="AE68" s="4">
        <f t="shared" si="2"/>
        <v>18672.587843343743</v>
      </c>
      <c r="AF68" s="4">
        <f t="shared" si="2"/>
        <v>18672.587843343739</v>
      </c>
      <c r="AG68" s="4">
        <f t="shared" si="2"/>
        <v>18672.587843343739</v>
      </c>
      <c r="AH68" s="4">
        <f t="shared" si="2"/>
        <v>1556.0489869453118</v>
      </c>
      <c r="AI68" s="4">
        <f t="shared" si="2"/>
        <v>0</v>
      </c>
      <c r="AJ68" s="4">
        <f t="shared" si="2"/>
        <v>0</v>
      </c>
      <c r="AK68" s="4">
        <f t="shared" si="2"/>
        <v>0</v>
      </c>
      <c r="AL68" s="4">
        <f t="shared" si="2"/>
        <v>0</v>
      </c>
      <c r="AM68" s="4">
        <f t="shared" si="2"/>
        <v>0</v>
      </c>
      <c r="AN68" s="4">
        <f t="shared" ref="AN68:BA68" si="3">AN66+AN67</f>
        <v>0</v>
      </c>
      <c r="AO68" s="4">
        <f t="shared" si="3"/>
        <v>0</v>
      </c>
      <c r="AP68" s="4">
        <f t="shared" si="3"/>
        <v>0</v>
      </c>
      <c r="AQ68" s="4">
        <f t="shared" si="3"/>
        <v>0</v>
      </c>
      <c r="AR68" s="4">
        <f t="shared" si="3"/>
        <v>0</v>
      </c>
      <c r="AS68" s="4">
        <f t="shared" si="3"/>
        <v>0</v>
      </c>
      <c r="AT68" s="4">
        <f t="shared" si="3"/>
        <v>0</v>
      </c>
      <c r="AU68" s="4">
        <f t="shared" si="3"/>
        <v>0</v>
      </c>
      <c r="AV68" s="4">
        <f t="shared" si="3"/>
        <v>0</v>
      </c>
      <c r="AW68" s="4">
        <f t="shared" si="3"/>
        <v>0</v>
      </c>
      <c r="AX68" s="4">
        <f t="shared" si="3"/>
        <v>0</v>
      </c>
      <c r="AY68" s="4">
        <f t="shared" si="3"/>
        <v>0</v>
      </c>
      <c r="AZ68" s="4">
        <f t="shared" si="3"/>
        <v>0</v>
      </c>
      <c r="BA68" s="4">
        <f t="shared" si="3"/>
        <v>0</v>
      </c>
      <c r="BB68"/>
    </row>
    <row r="69" spans="1:54">
      <c r="A69"/>
      <c r="B69" s="36" t="s">
        <v>224</v>
      </c>
      <c r="C69" s="105"/>
      <c r="D69" s="13" cm="1">
        <f t="array" ref="D69">IFERROR(INDEX(Kredyt!$M:$M,11+D49*12) * UbezŻyć,"")</f>
        <v>953.19634818976238</v>
      </c>
      <c r="E69" s="13" cm="1">
        <f t="array" ref="E69">IFERROR(INDEX(Kredyt!$M:$M,11+E49*12) * UbezŻyć,"")</f>
        <v>934.97478519228787</v>
      </c>
      <c r="F69" s="13" cm="1">
        <f t="array" ref="F69">IFERROR(INDEX(Kredyt!$M:$M,11+F49*12) * UbezŻyć,"")</f>
        <v>916.01084760388551</v>
      </c>
      <c r="G69" s="13" cm="1">
        <f t="array" ref="G69">IFERROR(INDEX(Kredyt!$M:$M,11+G49*12) * UbezŻyć,"")</f>
        <v>896.27428993829722</v>
      </c>
      <c r="H69" s="13" cm="1">
        <f t="array" ref="H69">IFERROR(INDEX(Kredyt!$M:$M,11+H49*12) * UbezŻyć,"")</f>
        <v>875.73363446148733</v>
      </c>
      <c r="I69" s="13" cm="1">
        <f t="array" ref="I69">IFERROR(INDEX(Kredyt!$M:$M,11+I49*12) * UbezŻyć,"")</f>
        <v>854.35612098796889</v>
      </c>
      <c r="J69" s="13" cm="1">
        <f t="array" ref="J69">IFERROR(INDEX(Kredyt!$M:$M,11+J49*12) * UbezŻyć,"")</f>
        <v>832.10765463175028</v>
      </c>
      <c r="K69" s="13" cm="1">
        <f t="array" ref="K69">IFERROR(INDEX(Kredyt!$M:$M,11+K49*12) * UbezŻyć,"")</f>
        <v>808.95275142858009</v>
      </c>
      <c r="L69" s="13" cm="1">
        <f t="array" ref="L69">IFERROR(INDEX(Kredyt!$M:$M,11+L49*12) * UbezŻyć,"")</f>
        <v>784.85448174275461</v>
      </c>
      <c r="M69" s="13" cm="1">
        <f t="array" ref="M69">IFERROR(INDEX(Kredyt!$M:$M,11+M49*12) * UbezŻyć,"")</f>
        <v>759.77441136823143</v>
      </c>
      <c r="N69" s="13" cm="1">
        <f t="array" ref="N69">IFERROR(INDEX(Kredyt!$M:$M,11+N49*12) * UbezŻyć,"")</f>
        <v>733.67254023011333</v>
      </c>
      <c r="O69" s="13" cm="1">
        <f t="array" ref="O69">IFERROR(INDEX(Kredyt!$M:$M,11+O49*12) * UbezŻyć,"")</f>
        <v>706.50723858873471</v>
      </c>
      <c r="P69" s="13" cm="1">
        <f t="array" ref="P69">IFERROR(INDEX(Kredyt!$M:$M,11+P49*12) * UbezŻyć,"")</f>
        <v>678.23518064460484</v>
      </c>
      <c r="Q69" s="13" cm="1">
        <f t="array" ref="Q69">IFERROR(INDEX(Kredyt!$M:$M,11+Q49*12) * UbezŻyć,"")</f>
        <v>648.81127543831349</v>
      </c>
      <c r="R69" s="13" cm="1">
        <f t="array" ref="R69">IFERROR(INDEX(Kredyt!$M:$M,11+R49*12) * UbezŻyć,"")</f>
        <v>618.18859493519233</v>
      </c>
      <c r="S69" s="13" cm="1">
        <f t="array" ref="S69">IFERROR(INDEX(Kredyt!$M:$M,11+S49*12) * UbezŻyć,"")</f>
        <v>586.31829918003405</v>
      </c>
      <c r="T69" s="13" cm="1">
        <f t="array" ref="T69">IFERROR(INDEX(Kredyt!$M:$M,11+T49*12) * UbezŻyć,"")</f>
        <v>553.1495584025007</v>
      </c>
      <c r="U69" s="13" cm="1">
        <f t="array" ref="U69">IFERROR(INDEX(Kredyt!$M:$M,11+U49*12) * UbezŻyć,"")</f>
        <v>518.62947194898402</v>
      </c>
      <c r="V69" s="13" cm="1">
        <f t="array" ref="V69">IFERROR(INDEX(Kredyt!$M:$M,11+V49*12) * UbezŻyć,"")</f>
        <v>482.70298391162646</v>
      </c>
      <c r="W69" s="13" cm="1">
        <f t="array" ref="W69">IFERROR(INDEX(Kredyt!$M:$M,11+W49*12) * UbezŻyć,"")</f>
        <v>445.31279531993766</v>
      </c>
      <c r="X69" s="13" cm="1">
        <f t="array" ref="X69">IFERROR(INDEX(Kredyt!$M:$M,11+X49*12) * UbezŻyć,"")</f>
        <v>406.3992727549616</v>
      </c>
      <c r="Y69" s="13" cm="1">
        <f t="array" ref="Y69">IFERROR(INDEX(Kredyt!$M:$M,11+Y49*12) * UbezŻyć,"")</f>
        <v>365.90035324024427</v>
      </c>
      <c r="Z69" s="13" cm="1">
        <f t="array" ref="Z69">IFERROR(INDEX(Kredyt!$M:$M,11+Z49*12) * UbezŻyć,"")</f>
        <v>323.75144525791302</v>
      </c>
      <c r="AA69" s="13" cm="1">
        <f t="array" ref="AA69">IFERROR(INDEX(Kredyt!$M:$M,11+AA49*12) * UbezŻyć,"")</f>
        <v>279.88532573199734</v>
      </c>
      <c r="AB69" s="13" cm="1">
        <f t="array" ref="AB69">IFERROR(INDEX(Kredyt!$M:$M,11+AB49*12) * UbezŻyć,"")</f>
        <v>234.23203281469205</v>
      </c>
      <c r="AC69" s="13" cm="1">
        <f t="array" ref="AC69">IFERROR(INDEX(Kredyt!$M:$M,11+AC49*12) * UbezŻyć,"")</f>
        <v>186.71875430456649</v>
      </c>
      <c r="AD69" s="13" cm="1">
        <f t="array" ref="AD69">IFERROR(INDEX(Kredyt!$M:$M,11+AD49*12) * UbezŻyć,"")</f>
        <v>137.26971151876077</v>
      </c>
      <c r="AE69" s="13" cm="1">
        <f t="array" ref="AE69">IFERROR(INDEX(Kredyt!$M:$M,11+AE49*12) * UbezŻyć,"")</f>
        <v>85.806038433954626</v>
      </c>
      <c r="AF69" s="13" cm="1">
        <f t="array" ref="AF69">IFERROR(INDEX(Kredyt!$M:$M,11+AF49*12) * UbezŻyć,"")</f>
        <v>32.245655903353857</v>
      </c>
      <c r="AG69" s="13" t="str" cm="1">
        <f t="array" ref="AG69">IFERROR(INDEX(Kredyt!$M:$M,11+AG49*12) * UbezŻyć,"")</f>
        <v/>
      </c>
      <c r="AH69" s="13" t="str" cm="1">
        <f t="array" ref="AH69">IFERROR(INDEX(Kredyt!$M:$M,11+AH49*12) * UbezŻyć,"")</f>
        <v/>
      </c>
      <c r="AI69" s="13" t="str" cm="1">
        <f t="array" ref="AI69">IFERROR(INDEX(Kredyt!$M:$M,11+AI49*12) * UbezŻyć,"")</f>
        <v/>
      </c>
      <c r="AJ69" s="13" t="str" cm="1">
        <f t="array" ref="AJ69">IFERROR(INDEX(Kredyt!$M:$M,11+AJ49*12) * UbezŻyć,"")</f>
        <v/>
      </c>
      <c r="AK69" s="13" t="str" cm="1">
        <f t="array" ref="AK69">IFERROR(INDEX(Kredyt!$M:$M,11+AK49*12) * UbezŻyć,"")</f>
        <v/>
      </c>
      <c r="AL69" s="13" t="str" cm="1">
        <f t="array" ref="AL69">IFERROR(INDEX(Kredyt!$M:$M,11+AL49*12) * UbezŻyć,"")</f>
        <v/>
      </c>
      <c r="AM69" s="13" t="str" cm="1">
        <f t="array" ref="AM69">IFERROR(INDEX(Kredyt!$M:$M,11+AM49*12) * UbezŻyć,"")</f>
        <v/>
      </c>
      <c r="AN69" s="13" t="str" cm="1">
        <f t="array" ref="AN69">IFERROR(INDEX(Kredyt!$M:$M,11+AN49*12) * UbezŻyć,"")</f>
        <v/>
      </c>
      <c r="AO69" s="13" t="str" cm="1">
        <f t="array" ref="AO69">IFERROR(INDEX(Kredyt!$M:$M,11+AO49*12) * UbezŻyć,"")</f>
        <v/>
      </c>
      <c r="AP69" s="13" t="str" cm="1">
        <f t="array" ref="AP69">IFERROR(INDEX(Kredyt!$M:$M,11+AP49*12) * UbezŻyć,"")</f>
        <v/>
      </c>
      <c r="AQ69" s="13" t="str" cm="1">
        <f t="array" ref="AQ69">IFERROR(INDEX(Kredyt!$M:$M,11+AQ49*12) * UbezŻyć,"")</f>
        <v/>
      </c>
      <c r="AR69" s="13" t="str" cm="1">
        <f t="array" ref="AR69">IFERROR(INDEX(Kredyt!$M:$M,11+AR49*12) * UbezŻyć,"")</f>
        <v/>
      </c>
      <c r="AS69" s="13" t="str" cm="1">
        <f t="array" ref="AS69">IFERROR(INDEX(Kredyt!$M:$M,11+AS49*12) * UbezŻyć,"")</f>
        <v/>
      </c>
      <c r="AT69" s="13" t="str" cm="1">
        <f t="array" ref="AT69">IFERROR(INDEX(Kredyt!$M:$M,11+AT49*12) * UbezŻyć,"")</f>
        <v/>
      </c>
      <c r="AU69" s="13" t="str" cm="1">
        <f t="array" ref="AU69">IFERROR(INDEX(Kredyt!$M:$M,11+AU49*12) * UbezŻyć,"")</f>
        <v/>
      </c>
      <c r="AV69" s="13" t="str" cm="1">
        <f t="array" ref="AV69">IFERROR(INDEX(Kredyt!$M:$M,11+AV49*12) * UbezŻyć,"")</f>
        <v/>
      </c>
      <c r="AW69" s="13" t="str" cm="1">
        <f t="array" ref="AW69">IFERROR(INDEX(Kredyt!$M:$M,11+AW49*12) * UbezŻyć,"")</f>
        <v/>
      </c>
      <c r="AX69" s="13" t="str" cm="1">
        <f t="array" ref="AX69">IFERROR(INDEX(Kredyt!$M:$M,11+AX49*12) * UbezŻyć,"")</f>
        <v/>
      </c>
      <c r="AY69" s="13" t="str" cm="1">
        <f t="array" ref="AY69">IFERROR(INDEX(Kredyt!$M:$M,11+AY49*12) * UbezŻyć,"")</f>
        <v/>
      </c>
      <c r="AZ69" s="13" t="str" cm="1">
        <f t="array" ref="AZ69">IFERROR(INDEX(Kredyt!$M:$M,11+AZ49*12) * UbezŻyć,"")</f>
        <v/>
      </c>
      <c r="BA69" s="13" t="str" cm="1">
        <f t="array" ref="BA69">IFERROR(INDEX(Kredyt!$M:$M,11+BA49*12) * UbezŻyć,"")</f>
        <v/>
      </c>
      <c r="BB69"/>
    </row>
    <row r="70" spans="1:54">
      <c r="A70"/>
      <c r="B70" s="36" t="s">
        <v>225</v>
      </c>
      <c r="C70" s="105"/>
      <c r="D70" s="3" cm="1">
        <f t="array" ref="D70">IF(KosInf="Tak", UbezMiesz * PRODUCT(1+D$59:D$59), UbezMiesz)</f>
        <v>408</v>
      </c>
      <c r="E70" s="3" cm="1">
        <f t="array" ref="E70">IF(KosInf="Tak", D70 * PRODUCT(1+E$59:E$59), UbezMiesz)</f>
        <v>420.24</v>
      </c>
      <c r="F70" s="3" cm="1">
        <f t="array" ref="F70">IF(KosInf="Tak", E70 * PRODUCT(1+F$59:F$59), UbezMiesz)</f>
        <v>432.84720000000004</v>
      </c>
      <c r="G70" s="3" cm="1">
        <f t="array" ref="G70">IF(KosInf="Tak", F70 * PRODUCT(1+G$59:G$59), UbezMiesz)</f>
        <v>445.83261600000003</v>
      </c>
      <c r="H70" s="3" cm="1">
        <f t="array" ref="H70">IF(KosInf="Tak", G70 * PRODUCT(1+H$59:H$59), UbezMiesz)</f>
        <v>459.20759448000007</v>
      </c>
      <c r="I70" s="3" cm="1">
        <f t="array" ref="I70">IF(KosInf="Tak", H70 * PRODUCT(1+I$59:I$59), UbezMiesz)</f>
        <v>472.98382231440007</v>
      </c>
      <c r="J70" s="3" cm="1">
        <f t="array" ref="J70">IF(KosInf="Tak", I70 * PRODUCT(1+J$59:J$59), UbezMiesz)</f>
        <v>487.17333698383209</v>
      </c>
      <c r="K70" s="3" cm="1">
        <f t="array" ref="K70">IF(KosInf="Tak", J70 * PRODUCT(1+K$59:K$59), UbezMiesz)</f>
        <v>501.78853709334709</v>
      </c>
      <c r="L70" s="3" cm="1">
        <f t="array" ref="L70">IF(KosInf="Tak", K70 * PRODUCT(1+L$59:L$59), UbezMiesz)</f>
        <v>516.8421932061475</v>
      </c>
      <c r="M70" s="3" cm="1">
        <f t="array" ref="M70">IF(KosInf="Tak", L70 * PRODUCT(1+M$59:M$59), UbezMiesz)</f>
        <v>532.3474590023319</v>
      </c>
      <c r="N70" s="3" cm="1">
        <f t="array" ref="N70">IF(KosInf="Tak", M70 * PRODUCT(1+N$59:N$59), UbezMiesz)</f>
        <v>548.31788277240184</v>
      </c>
      <c r="O70" s="3" cm="1">
        <f t="array" ref="O70">IF(KosInf="Tak", N70 * PRODUCT(1+O$59:O$59), UbezMiesz)</f>
        <v>564.76741925557394</v>
      </c>
      <c r="P70" s="3" cm="1">
        <f t="array" ref="P70">IF(KosInf="Tak", O70 * PRODUCT(1+P$59:P$59), UbezMiesz)</f>
        <v>581.71044183324113</v>
      </c>
      <c r="Q70" s="3" cm="1">
        <f t="array" ref="Q70">IF(KosInf="Tak", P70 * PRODUCT(1+Q$59:Q$59), UbezMiesz)</f>
        <v>599.16175508823835</v>
      </c>
      <c r="R70" s="3" cm="1">
        <f t="array" ref="R70">IF(KosInf="Tak", Q70 * PRODUCT(1+R$59:R$59), UbezMiesz)</f>
        <v>617.13660774088555</v>
      </c>
      <c r="S70" s="3" cm="1">
        <f t="array" ref="S70">IF(KosInf="Tak", R70 * PRODUCT(1+S$59:S$59), UbezMiesz)</f>
        <v>635.65070597311217</v>
      </c>
      <c r="T70" s="3" cm="1">
        <f t="array" ref="T70">IF(KosInf="Tak", S70 * PRODUCT(1+T$59:T$59), UbezMiesz)</f>
        <v>654.7202271523056</v>
      </c>
      <c r="U70" s="3" cm="1">
        <f t="array" ref="U70">IF(KosInf="Tak", T70 * PRODUCT(1+U$59:U$59), UbezMiesz)</f>
        <v>674.36183396687477</v>
      </c>
      <c r="V70" s="3" cm="1">
        <f t="array" ref="V70">IF(KosInf="Tak", U70 * PRODUCT(1+V$59:V$59), UbezMiesz)</f>
        <v>694.59268898588107</v>
      </c>
      <c r="W70" s="3" cm="1">
        <f t="array" ref="W70">IF(KosInf="Tak", V70 * PRODUCT(1+W$59:W$59), UbezMiesz)</f>
        <v>715.4304696554575</v>
      </c>
      <c r="X70" s="3" cm="1">
        <f t="array" ref="X70">IF(KosInf="Tak", W70 * PRODUCT(1+X$59:X$59), UbezMiesz)</f>
        <v>736.89338374512124</v>
      </c>
      <c r="Y70" s="3" cm="1">
        <f t="array" ref="Y70">IF(KosInf="Tak", X70 * PRODUCT(1+Y$59:Y$59), UbezMiesz)</f>
        <v>759.00018525747487</v>
      </c>
      <c r="Z70" s="3" cm="1">
        <f t="array" ref="Z70">IF(KosInf="Tak", Y70 * PRODUCT(1+Z$59:Z$59), UbezMiesz)</f>
        <v>781.77019081519916</v>
      </c>
      <c r="AA70" s="3" cm="1">
        <f t="array" ref="AA70">IF(KosInf="Tak", Z70 * PRODUCT(1+AA$59:AA$59), UbezMiesz)</f>
        <v>805.22329653965517</v>
      </c>
      <c r="AB70" s="3" cm="1">
        <f t="array" ref="AB70">IF(KosInf="Tak", AA70 * PRODUCT(1+AB$59:AB$59), UbezMiesz)</f>
        <v>829.37999543584488</v>
      </c>
      <c r="AC70" s="3" cm="1">
        <f t="array" ref="AC70">IF(KosInf="Tak", AB70 * PRODUCT(1+AC$59:AC$59), UbezMiesz)</f>
        <v>854.26139529892021</v>
      </c>
      <c r="AD70" s="3" cm="1">
        <f t="array" ref="AD70">IF(KosInf="Tak", AC70 * PRODUCT(1+AD$59:AD$59), UbezMiesz)</f>
        <v>879.88923715788781</v>
      </c>
      <c r="AE70" s="3" cm="1">
        <f t="array" ref="AE70">IF(KosInf="Tak", AD70 * PRODUCT(1+AE$59:AE$59), UbezMiesz)</f>
        <v>906.2859142726245</v>
      </c>
      <c r="AF70" s="3" cm="1">
        <f t="array" ref="AF70">IF(KosInf="Tak", AE70 * PRODUCT(1+AF$59:AF$59), UbezMiesz)</f>
        <v>933.47449170080324</v>
      </c>
      <c r="AG70" s="3" cm="1">
        <f t="array" ref="AG70">IF(KosInf="Tak", AF70 * PRODUCT(1+AG$59:AG$59), UbezMiesz)</f>
        <v>961.47872645182736</v>
      </c>
      <c r="AH70" s="3" cm="1">
        <f t="array" ref="AH70">IF(KosInf="Tak", AG70 * PRODUCT(1+AH$59:AH$59), UbezMiesz)</f>
        <v>990.32308824538222</v>
      </c>
      <c r="AI70" s="3" cm="1">
        <f t="array" ref="AI70">IF(KosInf="Tak", AH70 * PRODUCT(1+AI$59:AI$59), UbezMiesz)</f>
        <v>1020.0327808927437</v>
      </c>
      <c r="AJ70" s="3" cm="1">
        <f t="array" ref="AJ70">IF(KosInf="Tak", AI70 * PRODUCT(1+AJ$59:AJ$59), UbezMiesz)</f>
        <v>1050.6337643195261</v>
      </c>
      <c r="AK70" s="3" cm="1">
        <f t="array" ref="AK70">IF(KosInf="Tak", AJ70 * PRODUCT(1+AK$59:AK$59), UbezMiesz)</f>
        <v>1082.152777249112</v>
      </c>
      <c r="AL70" s="3" cm="1">
        <f t="array" ref="AL70">IF(KosInf="Tak", AK70 * PRODUCT(1+AL$59:AL$59), UbezMiesz)</f>
        <v>1114.6173605665854</v>
      </c>
      <c r="AM70" s="3" cm="1">
        <f t="array" ref="AM70">IF(KosInf="Tak", AL70 * PRODUCT(1+AM$59:AM$59), UbezMiesz)</f>
        <v>1148.055881383583</v>
      </c>
      <c r="AN70" s="3" cm="1">
        <f t="array" ref="AN70">IF(KosInf="Tak", AM70 * PRODUCT(1+AN$59:AN$59), UbezMiesz)</f>
        <v>1182.4975578250906</v>
      </c>
      <c r="AO70" s="3" cm="1">
        <f t="array" ref="AO70">IF(KosInf="Tak", AN70 * PRODUCT(1+AO$59:AO$59), UbezMiesz)</f>
        <v>1217.9724845598432</v>
      </c>
      <c r="AP70" s="3" cm="1">
        <f t="array" ref="AP70">IF(KosInf="Tak", AO70 * PRODUCT(1+AP$59:AP$59), UbezMiesz)</f>
        <v>1254.5116590966386</v>
      </c>
      <c r="AQ70" s="3" cm="1">
        <f t="array" ref="AQ70">IF(KosInf="Tak", AP70 * PRODUCT(1+AQ$59:AQ$59), UbezMiesz)</f>
        <v>1292.1470088695378</v>
      </c>
      <c r="AR70" s="3" cm="1">
        <f t="array" ref="AR70">IF(KosInf="Tak", AQ70 * PRODUCT(1+AR$59:AR$59), UbezMiesz)</f>
        <v>1330.9114191356239</v>
      </c>
      <c r="AS70" s="3" cm="1">
        <f t="array" ref="AS70">IF(KosInf="Tak", AR70 * PRODUCT(1+AS$59:AS$59), UbezMiesz)</f>
        <v>1370.8387617096926</v>
      </c>
      <c r="AT70" s="3" cm="1">
        <f t="array" ref="AT70">IF(KosInf="Tak", AS70 * PRODUCT(1+AT$59:AT$59), UbezMiesz)</f>
        <v>1411.9639245609833</v>
      </c>
      <c r="AU70" s="3" cm="1">
        <f t="array" ref="AU70">IF(KosInf="Tak", AT70 * PRODUCT(1+AU$59:AU$59), UbezMiesz)</f>
        <v>1454.3228422978127</v>
      </c>
      <c r="AV70" s="3" cm="1">
        <f t="array" ref="AV70">IF(KosInf="Tak", AU70 * PRODUCT(1+AV$59:AV$59), UbezMiesz)</f>
        <v>1497.9525275667472</v>
      </c>
      <c r="AW70" s="3" cm="1">
        <f t="array" ref="AW70">IF(KosInf="Tak", AV70 * PRODUCT(1+AW$59:AW$59), UbezMiesz)</f>
        <v>1542.8911033937497</v>
      </c>
      <c r="AX70" s="3" cm="1">
        <f t="array" ref="AX70">IF(KosInf="Tak", AW70 * PRODUCT(1+AX$59:AX$59), UbezMiesz)</f>
        <v>1589.1778364955624</v>
      </c>
      <c r="AY70" s="3" cm="1">
        <f t="array" ref="AY70">IF(KosInf="Tak", AX70 * PRODUCT(1+AY$59:AY$59), UbezMiesz)</f>
        <v>1636.8531715904294</v>
      </c>
      <c r="AZ70" s="3" cm="1">
        <f t="array" ref="AZ70">IF(KosInf="Tak", AY70 * PRODUCT(1+AZ$59:AZ$59), UbezMiesz)</f>
        <v>1685.9587667381422</v>
      </c>
      <c r="BA70" s="3" cm="1">
        <f t="array" ref="BA70">IF(KosInf="Tak", AZ70 * PRODUCT(1+BA$59:BA$59), UbezMiesz)</f>
        <v>1736.5375297402866</v>
      </c>
      <c r="BB70"/>
    </row>
    <row r="71" spans="1:54">
      <c r="A71"/>
      <c r="B71" s="36" t="s">
        <v>226</v>
      </c>
      <c r="C71" s="105"/>
      <c r="D71" s="3" cm="1">
        <f t="array" ref="D71">IF(KosInf="Tak", PodNie * PRODUCT(1+D$59:D59), PodNie)</f>
        <v>400</v>
      </c>
      <c r="E71" s="3" cm="1">
        <f t="array" ref="E71">IF(KosInf="Tak", D71 * PRODUCT(1+E$59:E59), PodNie)</f>
        <v>412</v>
      </c>
      <c r="F71" s="3" cm="1">
        <f t="array" ref="F71">IF(KosInf="Tak", E71 * PRODUCT(1+F$59:F59), PodNie)</f>
        <v>424.36</v>
      </c>
      <c r="G71" s="3" cm="1">
        <f t="array" ref="G71">IF(KosInf="Tak", F71 * PRODUCT(1+G$59:G59), PodNie)</f>
        <v>437.0908</v>
      </c>
      <c r="H71" s="3" cm="1">
        <f t="array" ref="H71">IF(KosInf="Tak", G71 * PRODUCT(1+H$59:H59), PodNie)</f>
        <v>450.20352400000002</v>
      </c>
      <c r="I71" s="3" cm="1">
        <f t="array" ref="I71">IF(KosInf="Tak", H71 * PRODUCT(1+I$59:I59), PodNie)</f>
        <v>463.70962972000001</v>
      </c>
      <c r="J71" s="3" cm="1">
        <f t="array" ref="J71">IF(KosInf="Tak", I71 * PRODUCT(1+J$59:J59), PodNie)</f>
        <v>477.62091861160002</v>
      </c>
      <c r="K71" s="3" cm="1">
        <f t="array" ref="K71">IF(KosInf="Tak", J71 * PRODUCT(1+K$59:K59), PodNie)</f>
        <v>491.94954616994801</v>
      </c>
      <c r="L71" s="3" cm="1">
        <f t="array" ref="L71">IF(KosInf="Tak", K71 * PRODUCT(1+L$59:L59), PodNie)</f>
        <v>506.70803255504649</v>
      </c>
      <c r="M71" s="3" cm="1">
        <f t="array" ref="M71">IF(KosInf="Tak", L71 * PRODUCT(1+M$59:M59), PodNie)</f>
        <v>521.90927353169786</v>
      </c>
      <c r="N71" s="3" cm="1">
        <f t="array" ref="N71">IF(KosInf="Tak", M71 * PRODUCT(1+N$59:N59), PodNie)</f>
        <v>537.56655173764887</v>
      </c>
      <c r="O71" s="3" cm="1">
        <f t="array" ref="O71">IF(KosInf="Tak", N71 * PRODUCT(1+O$59:O59), PodNie)</f>
        <v>553.69354828977839</v>
      </c>
      <c r="P71" s="3" cm="1">
        <f t="array" ref="P71">IF(KosInf="Tak", O71 * PRODUCT(1+P$59:P59), PodNie)</f>
        <v>570.30435473847172</v>
      </c>
      <c r="Q71" s="3" cm="1">
        <f t="array" ref="Q71">IF(KosInf="Tak", P71 * PRODUCT(1+Q$59:Q59), PodNie)</f>
        <v>587.41348538062584</v>
      </c>
      <c r="R71" s="3" cm="1">
        <f t="array" ref="R71">IF(KosInf="Tak", Q71 * PRODUCT(1+R$59:R59), PodNie)</f>
        <v>605.03588994204461</v>
      </c>
      <c r="S71" s="3" cm="1">
        <f t="array" ref="S71">IF(KosInf="Tak", R71 * PRODUCT(1+S$59:S59), PodNie)</f>
        <v>623.18696664030597</v>
      </c>
      <c r="T71" s="3" cm="1">
        <f t="array" ref="T71">IF(KosInf="Tak", S71 * PRODUCT(1+T$59:T59), PodNie)</f>
        <v>641.88257563951515</v>
      </c>
      <c r="U71" s="3" cm="1">
        <f t="array" ref="U71">IF(KosInf="Tak", T71 * PRODUCT(1+U$59:U59), PodNie)</f>
        <v>661.13905290870059</v>
      </c>
      <c r="V71" s="3" cm="1">
        <f t="array" ref="V71">IF(KosInf="Tak", U71 * PRODUCT(1+V$59:V59), PodNie)</f>
        <v>680.97322449596163</v>
      </c>
      <c r="W71" s="3" cm="1">
        <f t="array" ref="W71">IF(KosInf="Tak", V71 * PRODUCT(1+W$59:W59), PodNie)</f>
        <v>701.40242123084045</v>
      </c>
      <c r="X71" s="3" cm="1">
        <f t="array" ref="X71">IF(KosInf="Tak", W71 * PRODUCT(1+X$59:X59), PodNie)</f>
        <v>722.44449386776569</v>
      </c>
      <c r="Y71" s="3" cm="1">
        <f t="array" ref="Y71">IF(KosInf="Tak", X71 * PRODUCT(1+Y$59:Y59), PodNie)</f>
        <v>744.11782868379862</v>
      </c>
      <c r="Z71" s="3" cm="1">
        <f t="array" ref="Z71">IF(KosInf="Tak", Y71 * PRODUCT(1+Z$59:Z59), PodNie)</f>
        <v>766.44136354431259</v>
      </c>
      <c r="AA71" s="3" cm="1">
        <f t="array" ref="AA71">IF(KosInf="Tak", Z71 * PRODUCT(1+AA$59:AA59), PodNie)</f>
        <v>789.43460445064204</v>
      </c>
      <c r="AB71" s="3" cm="1">
        <f t="array" ref="AB71">IF(KosInf="Tak", AA71 * PRODUCT(1+AB$59:AB59), PodNie)</f>
        <v>813.11764258416133</v>
      </c>
      <c r="AC71" s="3" cm="1">
        <f t="array" ref="AC71">IF(KosInf="Tak", AB71 * PRODUCT(1+AC$59:AC59), PodNie)</f>
        <v>837.51117186168619</v>
      </c>
      <c r="AD71" s="3" cm="1">
        <f t="array" ref="AD71">IF(KosInf="Tak", AC71 * PRODUCT(1+AD$59:AD59), PodNie)</f>
        <v>862.63650701753681</v>
      </c>
      <c r="AE71" s="3" cm="1">
        <f t="array" ref="AE71">IF(KosInf="Tak", AD71 * PRODUCT(1+AE$59:AE59), PodNie)</f>
        <v>888.5156022280629</v>
      </c>
      <c r="AF71" s="3" cm="1">
        <f t="array" ref="AF71">IF(KosInf="Tak", AE71 * PRODUCT(1+AF$59:AF59), PodNie)</f>
        <v>915.17107029490478</v>
      </c>
      <c r="AG71" s="3" cm="1">
        <f t="array" ref="AG71">IF(KosInf="Tak", AF71 * PRODUCT(1+AG$59:AG59), PodNie)</f>
        <v>942.6262024037519</v>
      </c>
      <c r="AH71" s="3" cm="1">
        <f t="array" ref="AH71">IF(KosInf="Tak", AG71 * PRODUCT(1+AH$59:AH59), PodNie)</f>
        <v>970.90498847586446</v>
      </c>
      <c r="AI71" s="3" cm="1">
        <f t="array" ref="AI71">IF(KosInf="Tak", AH71 * PRODUCT(1+AI$59:AI59), PodNie)</f>
        <v>1000.0321381301404</v>
      </c>
      <c r="AJ71" s="3" cm="1">
        <f t="array" ref="AJ71">IF(KosInf="Tak", AI71 * PRODUCT(1+AJ$59:AJ59), PodNie)</f>
        <v>1030.0331022740447</v>
      </c>
      <c r="AK71" s="3" cm="1">
        <f t="array" ref="AK71">IF(KosInf="Tak", AJ71 * PRODUCT(1+AK$59:AK59), PodNie)</f>
        <v>1060.9340953422661</v>
      </c>
      <c r="AL71" s="3" cm="1">
        <f t="array" ref="AL71">IF(KosInf="Tak", AK71 * PRODUCT(1+AL$59:AL59), PodNie)</f>
        <v>1092.7621182025341</v>
      </c>
      <c r="AM71" s="3" cm="1">
        <f t="array" ref="AM71">IF(KosInf="Tak", AL71 * PRODUCT(1+AM$59:AM59), PodNie)</f>
        <v>1125.5449817486101</v>
      </c>
      <c r="AN71" s="3" cm="1">
        <f t="array" ref="AN71">IF(KosInf="Tak", AM71 * PRODUCT(1+AN$59:AN59), PodNie)</f>
        <v>1159.3113312010685</v>
      </c>
      <c r="AO71" s="3" cm="1">
        <f t="array" ref="AO71">IF(KosInf="Tak", AN71 * PRODUCT(1+AO$59:AO59), PodNie)</f>
        <v>1194.0906711371006</v>
      </c>
      <c r="AP71" s="3" cm="1">
        <f t="array" ref="AP71">IF(KosInf="Tak", AO71 * PRODUCT(1+AP$59:AP59), PodNie)</f>
        <v>1229.9133912712136</v>
      </c>
      <c r="AQ71" s="3" cm="1">
        <f t="array" ref="AQ71">IF(KosInf="Tak", AP71 * PRODUCT(1+AQ$59:AQ59), PodNie)</f>
        <v>1266.8107930093502</v>
      </c>
      <c r="AR71" s="3" cm="1">
        <f t="array" ref="AR71">IF(KosInf="Tak", AQ71 * PRODUCT(1+AR$59:AR59), PodNie)</f>
        <v>1304.8151167996307</v>
      </c>
      <c r="AS71" s="3" cm="1">
        <f t="array" ref="AS71">IF(KosInf="Tak", AR71 * PRODUCT(1+AS$59:AS59), PodNie)</f>
        <v>1343.9595703036196</v>
      </c>
      <c r="AT71" s="3" cm="1">
        <f t="array" ref="AT71">IF(KosInf="Tak", AS71 * PRODUCT(1+AT$59:AT59), PodNie)</f>
        <v>1384.2783574127282</v>
      </c>
      <c r="AU71" s="3" cm="1">
        <f t="array" ref="AU71">IF(KosInf="Tak", AT71 * PRODUCT(1+AU$59:AU59), PodNie)</f>
        <v>1425.8067081351101</v>
      </c>
      <c r="AV71" s="3" cm="1">
        <f t="array" ref="AV71">IF(KosInf="Tak", AU71 * PRODUCT(1+AV$59:AV59), PodNie)</f>
        <v>1468.5809093791634</v>
      </c>
      <c r="AW71" s="3" cm="1">
        <f t="array" ref="AW71">IF(KosInf="Tak", AV71 * PRODUCT(1+AW$59:AW59), PodNie)</f>
        <v>1512.6383366605382</v>
      </c>
      <c r="AX71" s="3" cm="1">
        <f t="array" ref="AX71">IF(KosInf="Tak", AW71 * PRODUCT(1+AX$59:AX59), PodNie)</f>
        <v>1558.0174867603544</v>
      </c>
      <c r="AY71" s="3" cm="1">
        <f t="array" ref="AY71">IF(KosInf="Tak", AX71 * PRODUCT(1+AY$59:AY59), PodNie)</f>
        <v>1604.758011363165</v>
      </c>
      <c r="AZ71" s="3" cm="1">
        <f t="array" ref="AZ71">IF(KosInf="Tak", AY71 * PRODUCT(1+AZ$59:AZ59), PodNie)</f>
        <v>1652.90075170406</v>
      </c>
      <c r="BA71" s="3" cm="1">
        <f t="array" ref="BA71">IF(KosInf="Tak", AZ71 * PRODUCT(1+BA$59:BA59), PodNie)</f>
        <v>1702.4877742551819</v>
      </c>
      <c r="BB71"/>
    </row>
    <row r="72" spans="1:54">
      <c r="A72"/>
      <c r="B72" s="36" t="s">
        <v>227</v>
      </c>
      <c r="C72" s="105"/>
      <c r="D72" s="3" cm="1">
        <f t="array" ref="D72">Zarząd*D56</f>
        <v>5760</v>
      </c>
      <c r="E72" s="3" cm="1">
        <f t="array" ref="E72">Zarząd*E56</f>
        <v>6110.7839999999997</v>
      </c>
      <c r="F72" s="3" cm="1">
        <f t="array" ref="F72">Zarząd*F56</f>
        <v>6294.1075199999987</v>
      </c>
      <c r="G72" s="3" cm="1">
        <f t="array" ref="G72">Zarząd*G56</f>
        <v>6482.9307455999997</v>
      </c>
      <c r="H72" s="3" cm="1">
        <f t="array" ref="H72">Zarząd*H56</f>
        <v>6677.4186679679997</v>
      </c>
      <c r="I72" s="3" cm="1">
        <f t="array" ref="I72">Zarząd*I56</f>
        <v>6877.7412280070403</v>
      </c>
      <c r="J72" s="3" cm="1">
        <f t="array" ref="J72">Zarząd*J56</f>
        <v>7084.0734648472508</v>
      </c>
      <c r="K72" s="3" cm="1">
        <f t="array" ref="K72">Zarząd*K56</f>
        <v>7296.5956687926682</v>
      </c>
      <c r="L72" s="3" cm="1">
        <f t="array" ref="L72">Zarząd*L56</f>
        <v>7515.493538856449</v>
      </c>
      <c r="M72" s="3" cm="1">
        <f t="array" ref="M72">Zarząd*M56</f>
        <v>7740.9583450221426</v>
      </c>
      <c r="N72" s="3" cm="1">
        <f t="array" ref="N72">Zarząd*N56</f>
        <v>7973.1870953728085</v>
      </c>
      <c r="O72" s="3" cm="1">
        <f t="array" ref="O72">Zarząd*O56</f>
        <v>8212.3827082339922</v>
      </c>
      <c r="P72" s="3" cm="1">
        <f t="array" ref="P72">Zarząd*P56</f>
        <v>8458.7541894810111</v>
      </c>
      <c r="Q72" s="3" cm="1">
        <f t="array" ref="Q72">Zarząd*Q56</f>
        <v>8712.5168151654416</v>
      </c>
      <c r="R72" s="3" cm="1">
        <f t="array" ref="R72">Zarząd*R56</f>
        <v>8973.892319620405</v>
      </c>
      <c r="S72" s="3" cm="1">
        <f t="array" ref="S72">Zarząd*S56</f>
        <v>9243.1090892090178</v>
      </c>
      <c r="T72" s="3" cm="1">
        <f t="array" ref="T72">Zarząd*T56</f>
        <v>9520.402361885288</v>
      </c>
      <c r="U72" s="3" cm="1">
        <f t="array" ref="U72">Zarząd*U56</f>
        <v>9806.0144327418457</v>
      </c>
      <c r="V72" s="3" cm="1">
        <f t="array" ref="V72">Zarząd*V56</f>
        <v>10100.194865724103</v>
      </c>
      <c r="W72" s="3" cm="1">
        <f t="array" ref="W72">Zarząd*W56</f>
        <v>10403.200711695825</v>
      </c>
      <c r="X72" s="3" cm="1">
        <f t="array" ref="X72">Zarząd*X56</f>
        <v>10715.2967330467</v>
      </c>
      <c r="Y72" s="3" cm="1">
        <f t="array" ref="Y72">Zarząd*Y56</f>
        <v>11036.755635038102</v>
      </c>
      <c r="Z72" s="3" cm="1">
        <f t="array" ref="Z72">Zarząd*Z56</f>
        <v>11367.858304089246</v>
      </c>
      <c r="AA72" s="3" cm="1">
        <f t="array" ref="AA72">Zarząd*AA56</f>
        <v>11708.894053211923</v>
      </c>
      <c r="AB72" s="3" cm="1">
        <f t="array" ref="AB72">Zarząd*AB56</f>
        <v>12060.16087480828</v>
      </c>
      <c r="AC72" s="3" cm="1">
        <f t="array" ref="AC72">Zarząd*AC56</f>
        <v>12421.965701052528</v>
      </c>
      <c r="AD72" s="3" cm="1">
        <f t="array" ref="AD72">Zarząd*AD56</f>
        <v>12794.624672084105</v>
      </c>
      <c r="AE72" s="3" cm="1">
        <f t="array" ref="AE72">Zarząd*AE56</f>
        <v>13178.463412246629</v>
      </c>
      <c r="AF72" s="3" cm="1">
        <f t="array" ref="AF72">Zarząd*AF56</f>
        <v>13573.817314614027</v>
      </c>
      <c r="AG72" s="3" cm="1">
        <f t="array" ref="AG72">Zarząd*AG56</f>
        <v>13981.031834052448</v>
      </c>
      <c r="AH72" s="3" cm="1">
        <f t="array" ref="AH72">Zarząd*AH56</f>
        <v>14400.462789074023</v>
      </c>
      <c r="AI72" s="3" cm="1">
        <f t="array" ref="AI72">Zarząd*AI56</f>
        <v>14832.476672746241</v>
      </c>
      <c r="AJ72" s="3" cm="1">
        <f t="array" ref="AJ72">Zarząd*AJ56</f>
        <v>15277.450972928631</v>
      </c>
      <c r="AK72" s="3" cm="1">
        <f t="array" ref="AK72">Zarząd*AK56</f>
        <v>15735.77450211649</v>
      </c>
      <c r="AL72" s="3" cm="1">
        <f t="array" ref="AL72">Zarząd*AL56</f>
        <v>16207.847737179985</v>
      </c>
      <c r="AM72" s="3" cm="1">
        <f t="array" ref="AM72">Zarząd*AM56</f>
        <v>16694.083169295383</v>
      </c>
      <c r="AN72" s="3" cm="1">
        <f t="array" ref="AN72">Zarząd*AN56</f>
        <v>17194.905664374248</v>
      </c>
      <c r="AO72" s="3" cm="1">
        <f t="array" ref="AO72">Zarząd*AO56</f>
        <v>17710.752834305473</v>
      </c>
      <c r="AP72" s="3" cm="1">
        <f t="array" ref="AP72">Zarząd*AP56</f>
        <v>18242.07541933464</v>
      </c>
      <c r="AQ72" s="3" cm="1">
        <f t="array" ref="AQ72">Zarząd*AQ56</f>
        <v>18789.33768191468</v>
      </c>
      <c r="AR72" s="3" cm="1">
        <f t="array" ref="AR72">Zarząd*AR56</f>
        <v>19353.017812372123</v>
      </c>
      <c r="AS72" s="3" cm="1">
        <f t="array" ref="AS72">Zarząd*AS56</f>
        <v>19933.608346743287</v>
      </c>
      <c r="AT72" s="3" cm="1">
        <f t="array" ref="AT72">Zarząd*AT56</f>
        <v>20531.616597145585</v>
      </c>
      <c r="AU72" s="3" cm="1">
        <f t="array" ref="AU72">Zarząd*AU56</f>
        <v>21147.565095059952</v>
      </c>
      <c r="AV72" s="3" cm="1">
        <f t="array" ref="AV72">Zarząd*AV56</f>
        <v>21781.992047911754</v>
      </c>
      <c r="AW72" s="3" cm="1">
        <f t="array" ref="AW72">Zarząd*AW56</f>
        <v>22435.451809349102</v>
      </c>
      <c r="AX72" s="3" cm="1">
        <f t="array" ref="AX72">Zarząd*AX56</f>
        <v>23108.515363629573</v>
      </c>
      <c r="AY72" s="3" cm="1">
        <f t="array" ref="AY72">Zarząd*AY56</f>
        <v>23801.770824538464</v>
      </c>
      <c r="AZ72" s="3" cm="1">
        <f t="array" ref="AZ72">Zarząd*AZ56</f>
        <v>24515.823949274614</v>
      </c>
      <c r="BA72" s="3" cm="1">
        <f t="array" ref="BA72">Zarząd*BA56</f>
        <v>25251.298667752857</v>
      </c>
      <c r="BB72"/>
    </row>
    <row r="73" spans="1:54">
      <c r="A73"/>
      <c r="B73" s="36" t="s">
        <v>37</v>
      </c>
      <c r="C73" s="105"/>
      <c r="D73" cm="1">
        <f t="array" ref="D73">IF(KosInf="Tak", InneKoszty * PRODUCT(1+D$59:D59), InneKoszty)</f>
        <v>150</v>
      </c>
      <c r="E73" s="3" cm="1">
        <f t="array" ref="E73">IF(KosInf="Tak", D73 * PRODUCT(1+E$59:E59), InneKoszty)</f>
        <v>154.5</v>
      </c>
      <c r="F73" s="3" cm="1">
        <f t="array" ref="F73">IF(KosInf="Tak", E73 * PRODUCT(1+F$59:F59), InneKoszty)</f>
        <v>159.13499999999999</v>
      </c>
      <c r="G73" s="3" cm="1">
        <f t="array" ref="G73">IF(KosInf="Tak", F73 * PRODUCT(1+G$59:G59), InneKoszty)</f>
        <v>163.90905000000001</v>
      </c>
      <c r="H73" s="3" cm="1">
        <f t="array" ref="H73">IF(KosInf="Tak", G73 * PRODUCT(1+H$59:H59), InneKoszty)</f>
        <v>168.82632150000001</v>
      </c>
      <c r="I73" s="3" cm="1">
        <f t="array" ref="I73">IF(KosInf="Tak", H73 * PRODUCT(1+I$59:I59), InneKoszty)</f>
        <v>173.891111145</v>
      </c>
      <c r="J73" s="3" cm="1">
        <f t="array" ref="J73">IF(KosInf="Tak", I73 * PRODUCT(1+J$59:J59), InneKoszty)</f>
        <v>179.10784447935001</v>
      </c>
      <c r="K73" s="3" cm="1">
        <f t="array" ref="K73">IF(KosInf="Tak", J73 * PRODUCT(1+K$59:K59), InneKoszty)</f>
        <v>184.4810798137305</v>
      </c>
      <c r="L73" s="3" cm="1">
        <f t="array" ref="L73">IF(KosInf="Tak", K73 * PRODUCT(1+L$59:L59), InneKoszty)</f>
        <v>190.01551220814241</v>
      </c>
      <c r="M73" s="3" cm="1">
        <f t="array" ref="M73">IF(KosInf="Tak", L73 * PRODUCT(1+M$59:M59), InneKoszty)</f>
        <v>195.7159775743867</v>
      </c>
      <c r="N73" s="3" cm="1">
        <f t="array" ref="N73">IF(KosInf="Tak", M73 * PRODUCT(1+N$59:N59), InneKoszty)</f>
        <v>201.58745690161831</v>
      </c>
      <c r="O73" s="3" cm="1">
        <f t="array" ref="O73">IF(KosInf="Tak", N73 * PRODUCT(1+O$59:O59), InneKoszty)</f>
        <v>207.63508060866687</v>
      </c>
      <c r="P73" s="3" cm="1">
        <f t="array" ref="P73">IF(KosInf="Tak", O73 * PRODUCT(1+P$59:P59), InneKoszty)</f>
        <v>213.86413302692688</v>
      </c>
      <c r="Q73" s="3" cm="1">
        <f t="array" ref="Q73">IF(KosInf="Tak", P73 * PRODUCT(1+Q$59:Q59), InneKoszty)</f>
        <v>220.28005701773469</v>
      </c>
      <c r="R73" s="3" cm="1">
        <f t="array" ref="R73">IF(KosInf="Tak", Q73 * PRODUCT(1+R$59:R59), InneKoszty)</f>
        <v>226.88845872826673</v>
      </c>
      <c r="S73" s="3" cm="1">
        <f t="array" ref="S73">IF(KosInf="Tak", R73 * PRODUCT(1+S$59:S59), InneKoszty)</f>
        <v>233.69511249011472</v>
      </c>
      <c r="T73" s="3" cm="1">
        <f t="array" ref="T73">IF(KosInf="Tak", S73 * PRODUCT(1+T$59:T59), InneKoszty)</f>
        <v>240.70596586481818</v>
      </c>
      <c r="U73" s="3" cm="1">
        <f t="array" ref="U73">IF(KosInf="Tak", T73 * PRODUCT(1+U$59:U59), InneKoszty)</f>
        <v>247.92714484076274</v>
      </c>
      <c r="V73" s="3" cm="1">
        <f t="array" ref="V73">IF(KosInf="Tak", U73 * PRODUCT(1+V$59:V59), InneKoszty)</f>
        <v>255.36495918598561</v>
      </c>
      <c r="W73" s="3" cm="1">
        <f t="array" ref="W73">IF(KosInf="Tak", V73 * PRODUCT(1+W$59:W59), InneKoszty)</f>
        <v>263.02590796156517</v>
      </c>
      <c r="X73" s="3" cm="1">
        <f t="array" ref="X73">IF(KosInf="Tak", W73 * PRODUCT(1+X$59:X59), InneKoszty)</f>
        <v>270.91668520041213</v>
      </c>
      <c r="Y73" s="3" cm="1">
        <f t="array" ref="Y73">IF(KosInf="Tak", X73 * PRODUCT(1+Y$59:Y59), InneKoszty)</f>
        <v>279.0441857564245</v>
      </c>
      <c r="Z73" s="3" cm="1">
        <f t="array" ref="Z73">IF(KosInf="Tak", Y73 * PRODUCT(1+Z$59:Z59), InneKoszty)</f>
        <v>287.41551132911724</v>
      </c>
      <c r="AA73" s="3" cm="1">
        <f t="array" ref="AA73">IF(KosInf="Tak", Z73 * PRODUCT(1+AA$59:AA59), InneKoszty)</f>
        <v>296.03797666899078</v>
      </c>
      <c r="AB73" s="3" cm="1">
        <f t="array" ref="AB73">IF(KosInf="Tak", AA73 * PRODUCT(1+AB$59:AB59), InneKoszty)</f>
        <v>304.9191159690605</v>
      </c>
      <c r="AC73" s="3" cm="1">
        <f t="array" ref="AC73">IF(KosInf="Tak", AB73 * PRODUCT(1+AC$59:AC59), InneKoszty)</f>
        <v>314.06668944813231</v>
      </c>
      <c r="AD73" s="3" cm="1">
        <f t="array" ref="AD73">IF(KosInf="Tak", AC73 * PRODUCT(1+AD$59:AD59), InneKoszty)</f>
        <v>323.48869013157628</v>
      </c>
      <c r="AE73" s="3" cm="1">
        <f t="array" ref="AE73">IF(KosInf="Tak", AD73 * PRODUCT(1+AE$59:AE59), InneKoszty)</f>
        <v>333.19335083552357</v>
      </c>
      <c r="AF73" s="3" cm="1">
        <f t="array" ref="AF73">IF(KosInf="Tak", AE73 * PRODUCT(1+AF$59:AF59), InneKoszty)</f>
        <v>343.18915136058928</v>
      </c>
      <c r="AG73" s="3" cm="1">
        <f t="array" ref="AG73">IF(KosInf="Tak", AF73 * PRODUCT(1+AG$59:AG59), InneKoszty)</f>
        <v>353.48482590140696</v>
      </c>
      <c r="AH73" s="3" cm="1">
        <f t="array" ref="AH73">IF(KosInf="Tak", AG73 * PRODUCT(1+AH$59:AH59), InneKoszty)</f>
        <v>364.0893706784492</v>
      </c>
      <c r="AI73" s="3" cm="1">
        <f t="array" ref="AI73">IF(KosInf="Tak", AH73 * PRODUCT(1+AI$59:AI59), InneKoszty)</f>
        <v>375.0120517988027</v>
      </c>
      <c r="AJ73" s="3" cm="1">
        <f t="array" ref="AJ73">IF(KosInf="Tak", AI73 * PRODUCT(1+AJ$59:AJ59), InneKoszty)</f>
        <v>386.26241335276677</v>
      </c>
      <c r="AK73" s="3" cm="1">
        <f t="array" ref="AK73">IF(KosInf="Tak", AJ73 * PRODUCT(1+AK$59:AK59), InneKoszty)</f>
        <v>397.85028575334979</v>
      </c>
      <c r="AL73" s="3" cm="1">
        <f t="array" ref="AL73">IF(KosInf="Tak", AK73 * PRODUCT(1+AL$59:AL59), InneKoszty)</f>
        <v>409.78579432595029</v>
      </c>
      <c r="AM73" s="3" cm="1">
        <f t="array" ref="AM73">IF(KosInf="Tak", AL73 * PRODUCT(1+AM$59:AM59), InneKoszty)</f>
        <v>422.07936815572879</v>
      </c>
      <c r="AN73" s="3" cm="1">
        <f t="array" ref="AN73">IF(KosInf="Tak", AM73 * PRODUCT(1+AN$59:AN59), InneKoszty)</f>
        <v>434.74174920040065</v>
      </c>
      <c r="AO73" s="3" cm="1">
        <f t="array" ref="AO73">IF(KosInf="Tak", AN73 * PRODUCT(1+AO$59:AO59), InneKoszty)</f>
        <v>447.78400167641269</v>
      </c>
      <c r="AP73" s="3" cm="1">
        <f t="array" ref="AP73">IF(KosInf="Tak", AO73 * PRODUCT(1+AP$59:AP59), InneKoszty)</f>
        <v>461.21752172670506</v>
      </c>
      <c r="AQ73" s="3" cm="1">
        <f t="array" ref="AQ73">IF(KosInf="Tak", AP73 * PRODUCT(1+AQ$59:AQ59), InneKoszty)</f>
        <v>475.0540473785062</v>
      </c>
      <c r="AR73" s="3" cm="1">
        <f t="array" ref="AR73">IF(KosInf="Tak", AQ73 * PRODUCT(1+AR$59:AR59), InneKoszty)</f>
        <v>489.30566879986139</v>
      </c>
      <c r="AS73" s="3" cm="1">
        <f t="array" ref="AS73">IF(KosInf="Tak", AR73 * PRODUCT(1+AS$59:AS59), InneKoszty)</f>
        <v>503.98483886385725</v>
      </c>
      <c r="AT73" s="3" cm="1">
        <f t="array" ref="AT73">IF(KosInf="Tak", AS73 * PRODUCT(1+AT$59:AT59), InneKoszty)</f>
        <v>519.10438402977297</v>
      </c>
      <c r="AU73" s="3" cm="1">
        <f t="array" ref="AU73">IF(KosInf="Tak", AT73 * PRODUCT(1+AU$59:AU59), InneKoszty)</f>
        <v>534.67751555066616</v>
      </c>
      <c r="AV73" s="3" cm="1">
        <f t="array" ref="AV73">IF(KosInf="Tak", AU73 * PRODUCT(1+AV$59:AV59), InneKoszty)</f>
        <v>550.71784101718617</v>
      </c>
      <c r="AW73" s="3" cm="1">
        <f t="array" ref="AW73">IF(KosInf="Tak", AV73 * PRODUCT(1+AW$59:AW59), InneKoszty)</f>
        <v>567.23937624770178</v>
      </c>
      <c r="AX73" s="3" cm="1">
        <f t="array" ref="AX73">IF(KosInf="Tak", AW73 * PRODUCT(1+AX$59:AX59), InneKoszty)</f>
        <v>584.25655753513286</v>
      </c>
      <c r="AY73" s="3" cm="1">
        <f t="array" ref="AY73">IF(KosInf="Tak", AX73 * PRODUCT(1+AY$59:AY59), InneKoszty)</f>
        <v>601.7842542611869</v>
      </c>
      <c r="AZ73" s="3" cm="1">
        <f t="array" ref="AZ73">IF(KosInf="Tak", AY73 * PRODUCT(1+AZ$59:AZ59), InneKoszty)</f>
        <v>619.83778188902249</v>
      </c>
      <c r="BA73" s="3" cm="1">
        <f t="array" ref="BA73">IF(KosInf="Tak", AZ73 * PRODUCT(1+BA$59:BA59), InneKoszty)</f>
        <v>638.43291534569323</v>
      </c>
      <c r="BB73"/>
    </row>
    <row r="74" spans="1:54">
      <c r="A74"/>
      <c r="B74" s="37" t="s">
        <v>228</v>
      </c>
      <c r="C74" s="107">
        <f>SUM(C60:C73)</f>
        <v>340300.91</v>
      </c>
      <c r="D74" s="4">
        <f t="shared" ref="D74:AI74" si="4">SUM(D63:D73)-D68</f>
        <v>26343.784191533501</v>
      </c>
      <c r="E74" s="4">
        <f t="shared" si="4"/>
        <v>26705.086628536032</v>
      </c>
      <c r="F74" s="4">
        <f t="shared" si="4"/>
        <v>26899.048410947624</v>
      </c>
      <c r="G74" s="4">
        <f t="shared" si="4"/>
        <v>27098.625344882035</v>
      </c>
      <c r="H74" s="4">
        <f t="shared" si="4"/>
        <v>27303.977585753222</v>
      </c>
      <c r="I74" s="4">
        <f t="shared" si="4"/>
        <v>27515.269755518151</v>
      </c>
      <c r="J74" s="4">
        <f t="shared" si="4"/>
        <v>27732.671062897527</v>
      </c>
      <c r="K74" s="4">
        <f t="shared" si="4"/>
        <v>27956.355426642011</v>
      </c>
      <c r="L74" s="4">
        <f t="shared" si="4"/>
        <v>28186.501601912281</v>
      </c>
      <c r="M74" s="4">
        <f t="shared" si="4"/>
        <v>28423.293309842527</v>
      </c>
      <c r="N74" s="4">
        <f t="shared" si="4"/>
        <v>28666.919370358333</v>
      </c>
      <c r="O74" s="4">
        <f t="shared" si="4"/>
        <v>28917.573838320481</v>
      </c>
      <c r="P74" s="4">
        <f t="shared" si="4"/>
        <v>29175.45614306799</v>
      </c>
      <c r="Q74" s="4">
        <f t="shared" si="4"/>
        <v>29440.771231434093</v>
      </c>
      <c r="R74" s="4">
        <f t="shared" si="4"/>
        <v>29713.729714310532</v>
      </c>
      <c r="S74" s="4">
        <f t="shared" si="4"/>
        <v>29994.548016836339</v>
      </c>
      <c r="T74" s="4">
        <f t="shared" si="4"/>
        <v>30283.448532288177</v>
      </c>
      <c r="U74" s="4">
        <f t="shared" si="4"/>
        <v>30580.659779750902</v>
      </c>
      <c r="V74" s="4">
        <f t="shared" si="4"/>
        <v>30886.416565647298</v>
      </c>
      <c r="W74" s="4">
        <f t="shared" si="4"/>
        <v>31200.960149207374</v>
      </c>
      <c r="X74" s="4">
        <f t="shared" si="4"/>
        <v>31524.5384119587</v>
      </c>
      <c r="Y74" s="4">
        <f t="shared" si="4"/>
        <v>31857.40603131977</v>
      </c>
      <c r="Z74" s="4">
        <f t="shared" si="4"/>
        <v>32199.824658379534</v>
      </c>
      <c r="AA74" s="4">
        <f t="shared" si="4"/>
        <v>32552.063099946954</v>
      </c>
      <c r="AB74" s="4">
        <f t="shared" si="4"/>
        <v>32914.397504955778</v>
      </c>
      <c r="AC74" s="4">
        <f t="shared" si="4"/>
        <v>33287.111555309573</v>
      </c>
      <c r="AD74" s="4">
        <f t="shared" si="4"/>
        <v>33670.496661253615</v>
      </c>
      <c r="AE74" s="4">
        <f t="shared" si="4"/>
        <v>34064.852161360541</v>
      </c>
      <c r="AF74" s="4">
        <f t="shared" si="4"/>
        <v>34470.485527217417</v>
      </c>
      <c r="AG74" s="4">
        <f t="shared" si="4"/>
        <v>34911.209432153169</v>
      </c>
      <c r="AH74" s="4">
        <f t="shared" si="4"/>
        <v>18281.829223419027</v>
      </c>
      <c r="AI74" s="4">
        <f t="shared" si="4"/>
        <v>17227.553643567928</v>
      </c>
      <c r="AJ74" s="4">
        <f t="shared" ref="AJ74:BA74" si="5">SUM(AJ63:AJ73)-AJ68</f>
        <v>17744.380252874969</v>
      </c>
      <c r="AK74" s="4">
        <f t="shared" si="5"/>
        <v>18276.711660461217</v>
      </c>
      <c r="AL74" s="4">
        <f t="shared" si="5"/>
        <v>18825.013010275055</v>
      </c>
      <c r="AM74" s="4">
        <f t="shared" si="5"/>
        <v>19389.763400583306</v>
      </c>
      <c r="AN74" s="4">
        <f t="shared" si="5"/>
        <v>19971.456302600811</v>
      </c>
      <c r="AO74" s="4">
        <f t="shared" si="5"/>
        <v>20570.599991678831</v>
      </c>
      <c r="AP74" s="4">
        <f t="shared" si="5"/>
        <v>21187.717991429199</v>
      </c>
      <c r="AQ74" s="4">
        <f t="shared" si="5"/>
        <v>21823.349531172076</v>
      </c>
      <c r="AR74" s="4">
        <f t="shared" si="5"/>
        <v>22478.050017107238</v>
      </c>
      <c r="AS74" s="4">
        <f t="shared" si="5"/>
        <v>23152.391517620457</v>
      </c>
      <c r="AT74" s="4">
        <f t="shared" si="5"/>
        <v>23846.963263149068</v>
      </c>
      <c r="AU74" s="4">
        <f t="shared" si="5"/>
        <v>24562.372161043542</v>
      </c>
      <c r="AV74" s="4">
        <f t="shared" si="5"/>
        <v>25299.243325874853</v>
      </c>
      <c r="AW74" s="4">
        <f t="shared" si="5"/>
        <v>26058.220625651091</v>
      </c>
      <c r="AX74" s="4">
        <f t="shared" si="5"/>
        <v>26839.967244420623</v>
      </c>
      <c r="AY74" s="4">
        <f t="shared" si="5"/>
        <v>27645.166261753246</v>
      </c>
      <c r="AZ74" s="4">
        <f t="shared" si="5"/>
        <v>28474.521249605838</v>
      </c>
      <c r="BA74" s="4">
        <f t="shared" si="5"/>
        <v>29328.756887094019</v>
      </c>
      <c r="BB74"/>
    </row>
    <row r="75" spans="1:54">
      <c r="A75"/>
      <c r="B75"/>
      <c r="C75" s="108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</row>
    <row r="76" spans="1:54">
      <c r="A76"/>
      <c r="B76" s="34" t="s">
        <v>229</v>
      </c>
      <c r="C76" s="109">
        <v>0</v>
      </c>
      <c r="D76" s="3">
        <f>IF(D56&lt;=100000, D56*8.5%, 100000*8.5% + (D56-100000)*12.5%)</f>
        <v>3264.0000000000005</v>
      </c>
      <c r="E76" s="3">
        <f t="shared" ref="E76:AL76" si="6">IF(E56&lt;=100000, E56*8.5%, 100000*8.5% + (E56-100000)*12.5%)</f>
        <v>3462.7775999999999</v>
      </c>
      <c r="F76" s="3">
        <f t="shared" si="6"/>
        <v>3566.6609279999998</v>
      </c>
      <c r="G76" s="3">
        <f t="shared" si="6"/>
        <v>3673.6607558400005</v>
      </c>
      <c r="H76" s="3">
        <f t="shared" si="6"/>
        <v>3783.8705785152001</v>
      </c>
      <c r="I76" s="3">
        <f t="shared" si="6"/>
        <v>3897.3866958706562</v>
      </c>
      <c r="J76" s="3">
        <f t="shared" si="6"/>
        <v>4014.3082967467763</v>
      </c>
      <c r="K76" s="3">
        <f t="shared" si="6"/>
        <v>4134.7375456491791</v>
      </c>
      <c r="L76" s="3">
        <f t="shared" si="6"/>
        <v>4258.7796720186552</v>
      </c>
      <c r="M76" s="3">
        <f t="shared" si="6"/>
        <v>4386.5430621792148</v>
      </c>
      <c r="N76" s="3">
        <f t="shared" si="6"/>
        <v>4518.1393540445924</v>
      </c>
      <c r="O76" s="3">
        <f t="shared" si="6"/>
        <v>4653.68353466593</v>
      </c>
      <c r="P76" s="3">
        <f t="shared" si="6"/>
        <v>4793.2940407059068</v>
      </c>
      <c r="Q76" s="3">
        <f t="shared" si="6"/>
        <v>4937.0928619270844</v>
      </c>
      <c r="R76" s="3">
        <f t="shared" si="6"/>
        <v>5085.2056477848964</v>
      </c>
      <c r="S76" s="3">
        <f t="shared" si="6"/>
        <v>5237.7618172184439</v>
      </c>
      <c r="T76" s="3">
        <f t="shared" si="6"/>
        <v>5394.8946717349972</v>
      </c>
      <c r="U76" s="3">
        <f t="shared" si="6"/>
        <v>5556.7415118870467</v>
      </c>
      <c r="V76" s="3">
        <f t="shared" si="6"/>
        <v>5723.4437572436582</v>
      </c>
      <c r="W76" s="3">
        <f t="shared" si="6"/>
        <v>5895.1470699609681</v>
      </c>
      <c r="X76" s="3">
        <f t="shared" si="6"/>
        <v>6072.0014820597971</v>
      </c>
      <c r="Y76" s="3">
        <f t="shared" si="6"/>
        <v>6254.1615265215914</v>
      </c>
      <c r="Z76" s="3">
        <f t="shared" si="6"/>
        <v>6441.7863723172395</v>
      </c>
      <c r="AA76" s="3">
        <f t="shared" si="6"/>
        <v>6635.0399634867572</v>
      </c>
      <c r="AB76" s="3">
        <f t="shared" si="6"/>
        <v>6834.0911623913598</v>
      </c>
      <c r="AC76" s="3">
        <f t="shared" si="6"/>
        <v>7039.1138972631006</v>
      </c>
      <c r="AD76" s="3">
        <f t="shared" si="6"/>
        <v>7250.2873141809932</v>
      </c>
      <c r="AE76" s="3">
        <f t="shared" si="6"/>
        <v>7467.7959336064232</v>
      </c>
      <c r="AF76" s="3">
        <f t="shared" si="6"/>
        <v>7691.8298116146161</v>
      </c>
      <c r="AG76" s="3">
        <f t="shared" si="6"/>
        <v>7922.5847059630551</v>
      </c>
      <c r="AH76" s="3">
        <f t="shared" si="6"/>
        <v>8160.2622471419472</v>
      </c>
      <c r="AI76" s="3">
        <f t="shared" si="6"/>
        <v>8405.0701145562034</v>
      </c>
      <c r="AJ76" s="3">
        <f t="shared" si="6"/>
        <v>8731.2091441071934</v>
      </c>
      <c r="AK76" s="3">
        <f t="shared" si="6"/>
        <v>9113.1454184304093</v>
      </c>
      <c r="AL76" s="3">
        <f t="shared" si="6"/>
        <v>9506.5397809833212</v>
      </c>
      <c r="AM76" s="3">
        <f>IF(AM56&lt;=100000, AM56*8.5%, 100000*8.5% + (AM56-100000)*12.5%)</f>
        <v>9911.7359744128207</v>
      </c>
      <c r="AN76" s="3">
        <f>IF(AN56&lt;=100000, AN56*8.5%, 100000*8.5% + (AN56-100000)*12.5%)</f>
        <v>10329.088053645208</v>
      </c>
      <c r="AO76" s="3">
        <f t="shared" ref="AO76:AU76" si="7">IF(AO56&lt;=100000, AO56*8.5%, 100000*8.5% + (AO56-100000)*12.5%)</f>
        <v>10758.960695254562</v>
      </c>
      <c r="AP76" s="3">
        <f t="shared" si="7"/>
        <v>11201.7295161122</v>
      </c>
      <c r="AQ76" s="3">
        <f t="shared" si="7"/>
        <v>11657.781401595568</v>
      </c>
      <c r="AR76" s="3">
        <f t="shared" si="7"/>
        <v>12127.514843643436</v>
      </c>
      <c r="AS76" s="3">
        <f t="shared" si="7"/>
        <v>12611.340288952739</v>
      </c>
      <c r="AT76" s="3">
        <f t="shared" si="7"/>
        <v>13109.680497621321</v>
      </c>
      <c r="AU76" s="3">
        <f t="shared" si="7"/>
        <v>13622.970912549961</v>
      </c>
      <c r="AV76" s="3">
        <f t="shared" ref="AV76:BA76" si="8">IF(AV56&lt;=100000, AV56*8.5%, 100000*8.5% + (AV56-100000)*12.5%)</f>
        <v>14151.660039926461</v>
      </c>
      <c r="AW76" s="3">
        <f t="shared" si="8"/>
        <v>14696.209841124251</v>
      </c>
      <c r="AX76" s="3">
        <f t="shared" si="8"/>
        <v>15257.096136357977</v>
      </c>
      <c r="AY76" s="3">
        <f t="shared" si="8"/>
        <v>15834.80902044872</v>
      </c>
      <c r="AZ76" s="3">
        <f t="shared" si="8"/>
        <v>16429.85329106218</v>
      </c>
      <c r="BA76" s="3">
        <f t="shared" si="8"/>
        <v>17042.748889794049</v>
      </c>
      <c r="BB76"/>
    </row>
    <row r="77" spans="1:54">
      <c r="A77"/>
      <c r="B77"/>
      <c r="C77" s="108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</row>
    <row r="78" spans="1:54" ht="31.9" customHeight="1">
      <c r="A78"/>
      <c r="B78" s="112" t="s">
        <v>230</v>
      </c>
      <c r="C78" s="4"/>
      <c r="D78" s="4">
        <f t="shared" ref="D78:AI78" si="9">D56-D74-D76</f>
        <v>8792.2158084664989</v>
      </c>
      <c r="E78" s="4">
        <f t="shared" si="9"/>
        <v>10570.695771463967</v>
      </c>
      <c r="F78" s="4">
        <f t="shared" si="9"/>
        <v>11495.007461052372</v>
      </c>
      <c r="G78" s="4">
        <f t="shared" si="9"/>
        <v>12447.252203277965</v>
      </c>
      <c r="H78" s="4">
        <f t="shared" si="9"/>
        <v>13428.276288851577</v>
      </c>
      <c r="I78" s="4">
        <f t="shared" si="9"/>
        <v>14438.951735324794</v>
      </c>
      <c r="J78" s="4">
        <f t="shared" si="9"/>
        <v>15480.177072670705</v>
      </c>
      <c r="K78" s="4">
        <f t="shared" si="9"/>
        <v>16552.878152993268</v>
      </c>
      <c r="L78" s="4">
        <f t="shared" si="9"/>
        <v>17658.008985112057</v>
      </c>
      <c r="M78" s="4">
        <f t="shared" si="9"/>
        <v>18796.552594792545</v>
      </c>
      <c r="N78" s="4">
        <f t="shared" si="9"/>
        <v>19969.521911415799</v>
      </c>
      <c r="O78" s="4">
        <f t="shared" si="9"/>
        <v>21177.960681906879</v>
      </c>
      <c r="P78" s="4">
        <f t="shared" si="9"/>
        <v>22422.944412766185</v>
      </c>
      <c r="Q78" s="4">
        <f t="shared" si="9"/>
        <v>23705.581341075103</v>
      </c>
      <c r="R78" s="4">
        <f t="shared" si="9"/>
        <v>25027.013435373941</v>
      </c>
      <c r="S78" s="4">
        <f t="shared" si="9"/>
        <v>26388.417427338671</v>
      </c>
      <c r="T78" s="4">
        <f t="shared" si="9"/>
        <v>27791.005875212089</v>
      </c>
      <c r="U78" s="4">
        <f t="shared" si="9"/>
        <v>29236.028259974359</v>
      </c>
      <c r="V78" s="4">
        <f t="shared" si="9"/>
        <v>30724.772115269727</v>
      </c>
      <c r="W78" s="4">
        <f t="shared" si="9"/>
        <v>32258.564192137168</v>
      </c>
      <c r="X78" s="4">
        <f t="shared" si="9"/>
        <v>33838.771659626174</v>
      </c>
      <c r="Y78" s="4">
        <f t="shared" si="9"/>
        <v>35466.803342412648</v>
      </c>
      <c r="Z78" s="4">
        <f t="shared" si="9"/>
        <v>37144.110996564865</v>
      </c>
      <c r="AA78" s="4">
        <f t="shared" si="9"/>
        <v>38872.190624645773</v>
      </c>
      <c r="AB78" s="4">
        <f t="shared" si="9"/>
        <v>40652.583831374737</v>
      </c>
      <c r="AC78" s="4">
        <f t="shared" si="9"/>
        <v>42486.879221110852</v>
      </c>
      <c r="AD78" s="4">
        <f t="shared" si="9"/>
        <v>44376.713838459429</v>
      </c>
      <c r="AE78" s="4">
        <f t="shared" si="9"/>
        <v>46323.774653343891</v>
      </c>
      <c r="AF78" s="4">
        <f t="shared" si="9"/>
        <v>48329.800091928148</v>
      </c>
      <c r="AG78" s="4">
        <f t="shared" si="9"/>
        <v>50373.084755566771</v>
      </c>
      <c r="AH78" s="4">
        <f t="shared" si="9"/>
        <v>69560.993789932516</v>
      </c>
      <c r="AI78" s="4">
        <f t="shared" si="9"/>
        <v>73250.554060184149</v>
      </c>
      <c r="AJ78" s="4">
        <f t="shared" ref="AJ78:BA78" si="10">AJ56-AJ74-AJ76</f>
        <v>75374.083755875385</v>
      </c>
      <c r="AK78" s="4">
        <f t="shared" si="10"/>
        <v>77515.306268551649</v>
      </c>
      <c r="AL78" s="4">
        <f t="shared" si="10"/>
        <v>79720.765456608191</v>
      </c>
      <c r="AM78" s="4">
        <f t="shared" si="10"/>
        <v>81992.388420306437</v>
      </c>
      <c r="AN78" s="4">
        <f t="shared" si="10"/>
        <v>84332.160072915649</v>
      </c>
      <c r="AO78" s="4">
        <f t="shared" si="10"/>
        <v>86742.124875103109</v>
      </c>
      <c r="AP78" s="4">
        <f t="shared" si="10"/>
        <v>89224.388621356207</v>
      </c>
      <c r="AQ78" s="4">
        <f t="shared" si="10"/>
        <v>91781.120279996903</v>
      </c>
      <c r="AR78" s="4">
        <f t="shared" si="10"/>
        <v>94414.553888396811</v>
      </c>
      <c r="AS78" s="4">
        <f t="shared" si="10"/>
        <v>97126.990505048714</v>
      </c>
      <c r="AT78" s="4">
        <f t="shared" si="10"/>
        <v>99920.800220200181</v>
      </c>
      <c r="AU78" s="4">
        <f t="shared" si="10"/>
        <v>102798.42422680618</v>
      </c>
      <c r="AV78" s="4">
        <f t="shared" si="10"/>
        <v>105762.37695361038</v>
      </c>
      <c r="AW78" s="4">
        <f t="shared" si="10"/>
        <v>108815.24826221867</v>
      </c>
      <c r="AX78" s="4">
        <f t="shared" si="10"/>
        <v>111959.70571008523</v>
      </c>
      <c r="AY78" s="4">
        <f t="shared" si="10"/>
        <v>115198.49688138779</v>
      </c>
      <c r="AZ78" s="4">
        <f t="shared" si="10"/>
        <v>118534.45178782943</v>
      </c>
      <c r="BA78" s="4">
        <f t="shared" si="10"/>
        <v>121970.48534146431</v>
      </c>
      <c r="BB78"/>
    </row>
    <row r="79" spans="1:54">
      <c r="A79"/>
      <c r="B79" s="34" t="s">
        <v>231</v>
      </c>
      <c r="C79" s="109"/>
      <c r="D79" s="4">
        <f>D78</f>
        <v>8792.2158084664989</v>
      </c>
      <c r="E79" s="4">
        <f>E78+D79</f>
        <v>19362.911579930464</v>
      </c>
      <c r="F79" s="4">
        <f t="shared" ref="F79:AM79" si="11">F78+E79</f>
        <v>30857.919040982837</v>
      </c>
      <c r="G79" s="4">
        <f t="shared" si="11"/>
        <v>43305.171244260804</v>
      </c>
      <c r="H79" s="4">
        <f t="shared" si="11"/>
        <v>56733.447533112383</v>
      </c>
      <c r="I79" s="4">
        <f t="shared" si="11"/>
        <v>71172.399268437177</v>
      </c>
      <c r="J79" s="4">
        <f t="shared" si="11"/>
        <v>86652.576341107881</v>
      </c>
      <c r="K79" s="4">
        <f t="shared" si="11"/>
        <v>103205.45449410114</v>
      </c>
      <c r="L79" s="4">
        <f t="shared" si="11"/>
        <v>120863.4634792132</v>
      </c>
      <c r="M79" s="4">
        <f t="shared" si="11"/>
        <v>139660.01607400575</v>
      </c>
      <c r="N79" s="4">
        <f t="shared" si="11"/>
        <v>159629.53798542154</v>
      </c>
      <c r="O79" s="4">
        <f t="shared" si="11"/>
        <v>180807.49866732841</v>
      </c>
      <c r="P79" s="4">
        <f t="shared" si="11"/>
        <v>203230.44308009458</v>
      </c>
      <c r="Q79" s="4">
        <f t="shared" si="11"/>
        <v>226936.02442116968</v>
      </c>
      <c r="R79" s="4">
        <f t="shared" si="11"/>
        <v>251963.03785654361</v>
      </c>
      <c r="S79" s="4">
        <f t="shared" si="11"/>
        <v>278351.45528388227</v>
      </c>
      <c r="T79" s="4">
        <f t="shared" si="11"/>
        <v>306142.46115909435</v>
      </c>
      <c r="U79" s="4">
        <f t="shared" si="11"/>
        <v>335378.48941906873</v>
      </c>
      <c r="V79" s="4">
        <f t="shared" si="11"/>
        <v>366103.26153433847</v>
      </c>
      <c r="W79" s="4">
        <f t="shared" si="11"/>
        <v>398361.82572647562</v>
      </c>
      <c r="X79" s="4">
        <f t="shared" si="11"/>
        <v>432200.59738610178</v>
      </c>
      <c r="Y79" s="4">
        <f t="shared" si="11"/>
        <v>467667.40072851442</v>
      </c>
      <c r="Z79" s="4">
        <f t="shared" si="11"/>
        <v>504811.51172507927</v>
      </c>
      <c r="AA79" s="4">
        <f t="shared" si="11"/>
        <v>543683.70234972506</v>
      </c>
      <c r="AB79" s="4">
        <f t="shared" si="11"/>
        <v>584336.28618109983</v>
      </c>
      <c r="AC79" s="4">
        <f t="shared" si="11"/>
        <v>626823.16540221067</v>
      </c>
      <c r="AD79" s="4">
        <f t="shared" si="11"/>
        <v>671199.87924067013</v>
      </c>
      <c r="AE79" s="4">
        <f t="shared" si="11"/>
        <v>717523.65389401396</v>
      </c>
      <c r="AF79" s="4">
        <f t="shared" si="11"/>
        <v>765853.45398594206</v>
      </c>
      <c r="AG79" s="4">
        <f t="shared" si="11"/>
        <v>816226.53874150885</v>
      </c>
      <c r="AH79" s="4">
        <f t="shared" si="11"/>
        <v>885787.53253144142</v>
      </c>
      <c r="AI79" s="4">
        <f t="shared" si="11"/>
        <v>959038.08659162559</v>
      </c>
      <c r="AJ79" s="4">
        <f t="shared" si="11"/>
        <v>1034412.1703475009</v>
      </c>
      <c r="AK79" s="4">
        <f t="shared" si="11"/>
        <v>1111927.4766160527</v>
      </c>
      <c r="AL79" s="4">
        <f t="shared" si="11"/>
        <v>1191648.2420726609</v>
      </c>
      <c r="AM79" s="4">
        <f t="shared" si="11"/>
        <v>1273640.6304929673</v>
      </c>
      <c r="AN79" s="4">
        <f t="shared" ref="AN79:BA79" si="12">AN78+AM79</f>
        <v>1357972.790565883</v>
      </c>
      <c r="AO79" s="4">
        <f t="shared" si="12"/>
        <v>1444714.9154409862</v>
      </c>
      <c r="AP79" s="4">
        <f t="shared" si="12"/>
        <v>1533939.3040623423</v>
      </c>
      <c r="AQ79" s="4">
        <f t="shared" si="12"/>
        <v>1625720.4243423392</v>
      </c>
      <c r="AR79" s="4">
        <f t="shared" si="12"/>
        <v>1720134.978230736</v>
      </c>
      <c r="AS79" s="4">
        <f t="shared" si="12"/>
        <v>1817261.9687357848</v>
      </c>
      <c r="AT79" s="4">
        <f t="shared" si="12"/>
        <v>1917182.7689559849</v>
      </c>
      <c r="AU79" s="4">
        <f t="shared" si="12"/>
        <v>2019981.1931827911</v>
      </c>
      <c r="AV79" s="4">
        <f t="shared" si="12"/>
        <v>2125743.5701364013</v>
      </c>
      <c r="AW79" s="4">
        <f t="shared" si="12"/>
        <v>2234558.81839862</v>
      </c>
      <c r="AX79" s="4">
        <f t="shared" si="12"/>
        <v>2346518.5241087051</v>
      </c>
      <c r="AY79" s="4">
        <f t="shared" si="12"/>
        <v>2461717.0209900928</v>
      </c>
      <c r="AZ79" s="4">
        <f t="shared" si="12"/>
        <v>2580251.4727779222</v>
      </c>
      <c r="BA79" s="4">
        <f t="shared" si="12"/>
        <v>2702221.9581193863</v>
      </c>
      <c r="BB79"/>
    </row>
    <row r="80" spans="1:54">
      <c r="A80"/>
      <c r="B80" s="36" t="s">
        <v>232</v>
      </c>
      <c r="C80" s="114">
        <f>-C74</f>
        <v>-340300.91</v>
      </c>
      <c r="D80" s="4" cm="1">
        <f t="array" ref="D80">D78+IF((COLUMN()-COLUMN($D$78)+1)=HoryzontInw,D85,0)</f>
        <v>8792.2158084664989</v>
      </c>
      <c r="E80" s="4" cm="1">
        <f t="array" ref="E80">E78+IF((COLUMN()-COLUMN($D$78)+1)=HoryzontInw,E85,0)</f>
        <v>10570.695771463967</v>
      </c>
      <c r="F80" s="4" cm="1">
        <f t="array" ref="F80">F78+IF((COLUMN()-COLUMN($D$78)+1)=HoryzontInw,F85,0)</f>
        <v>11495.007461052372</v>
      </c>
      <c r="G80" s="4" cm="1">
        <f t="array" ref="G80">G78+IF((COLUMN()-COLUMN($D$78)+1)=HoryzontInw,G85,0)</f>
        <v>12447.252203277965</v>
      </c>
      <c r="H80" s="4" cm="1">
        <f t="array" ref="H80">H78+IF((COLUMN()-COLUMN($D$78)+1)=HoryzontInw,H85,0)</f>
        <v>13428.276288851577</v>
      </c>
      <c r="I80" s="4" cm="1">
        <f t="array" ref="I80">I78+IF((COLUMN()-COLUMN($D$78)+1)=HoryzontInw,I85,0)</f>
        <v>14438.951735324794</v>
      </c>
      <c r="J80" s="4" cm="1">
        <f t="array" ref="J80">J78+IF((COLUMN()-COLUMN($D$78)+1)=HoryzontInw,J85,0)</f>
        <v>15480.177072670705</v>
      </c>
      <c r="K80" s="4" cm="1">
        <f t="array" ref="K80">K78+IF((COLUMN()-COLUMN($D$78)+1)=HoryzontInw,K85,0)</f>
        <v>16552.878152993268</v>
      </c>
      <c r="L80" s="4" cm="1">
        <f t="array" ref="L80">L78+IF((COLUMN()-COLUMN($D$78)+1)=HoryzontInw,L85,0)</f>
        <v>17658.008985112057</v>
      </c>
      <c r="M80" s="4" cm="1">
        <f t="array" ref="M80">M78+IF((COLUMN()-COLUMN($D$78)+1)=HoryzontInw,M85,0)</f>
        <v>18796.552594792545</v>
      </c>
      <c r="N80" s="4" cm="1">
        <f t="array" ref="N80">N78+IF((COLUMN()-COLUMN($D$78)+1)=HoryzontInw,N85,0)</f>
        <v>19969.521911415799</v>
      </c>
      <c r="O80" s="4" cm="1">
        <f t="array" ref="O80">O78+IF((COLUMN()-COLUMN($D$78)+1)=HoryzontInw,O85,0)</f>
        <v>21177.960681906879</v>
      </c>
      <c r="P80" s="4" cm="1">
        <f t="array" ref="P80">P78+IF((COLUMN()-COLUMN($D$78)+1)=HoryzontInw,P85,0)</f>
        <v>22422.944412766185</v>
      </c>
      <c r="Q80" s="4" cm="1">
        <f t="array" ref="Q80">Q78+IF((COLUMN()-COLUMN($D$78)+1)=HoryzontInw,Q85,0)</f>
        <v>23705.581341075103</v>
      </c>
      <c r="R80" s="4" cm="1">
        <f t="array" ref="R80">R78+IF((COLUMN()-COLUMN($D$78)+1)=HoryzontInw,R85,0)</f>
        <v>25027.013435373941</v>
      </c>
      <c r="S80" s="4" cm="1">
        <f t="array" ref="S80">S78+IF((COLUMN()-COLUMN($D$78)+1)=HoryzontInw,S85,0)</f>
        <v>26388.417427338671</v>
      </c>
      <c r="T80" s="4" cm="1">
        <f t="array" ref="T80">T78+IF((COLUMN()-COLUMN($D$78)+1)=HoryzontInw,T85,0)</f>
        <v>27791.005875212089</v>
      </c>
      <c r="U80" s="4" cm="1">
        <f t="array" ref="U80">U78+IF((COLUMN()-COLUMN($D$78)+1)=HoryzontInw,U85,0)</f>
        <v>29236.028259974359</v>
      </c>
      <c r="V80" s="4" cm="1">
        <f t="array" ref="V80">V78+IF((COLUMN()-COLUMN($D$78)+1)=HoryzontInw,V85,0)</f>
        <v>30724.772115269727</v>
      </c>
      <c r="W80" s="4" cm="1">
        <f t="array" ref="W80">W78+IF((COLUMN()-COLUMN($D$78)+1)=HoryzontInw,W85,0)</f>
        <v>747689.03384759487</v>
      </c>
      <c r="X80" s="4" cm="1">
        <f t="array" ref="X80">X78+IF((COLUMN()-COLUMN($D$78)+1)=HoryzontInw,X85,0)</f>
        <v>33838.771659626174</v>
      </c>
      <c r="Y80" s="4" cm="1">
        <f t="array" ref="Y80">Y78+IF((COLUMN()-COLUMN($D$78)+1)=HoryzontInw,Y85,0)</f>
        <v>35466.803342412648</v>
      </c>
      <c r="Z80" s="4" cm="1">
        <f t="array" ref="Z80">Z78+IF((COLUMN()-COLUMN($D$78)+1)=HoryzontInw,Z85,0)</f>
        <v>37144.110996564865</v>
      </c>
      <c r="AA80" s="4" cm="1">
        <f t="array" ref="AA80">AA78+IF((COLUMN()-COLUMN($D$78)+1)=HoryzontInw,AA85,0)</f>
        <v>38872.190624645773</v>
      </c>
      <c r="AB80" s="4" cm="1">
        <f t="array" ref="AB80">AB78+IF((COLUMN()-COLUMN($D$78)+1)=HoryzontInw,AB85,0)</f>
        <v>40652.583831374737</v>
      </c>
      <c r="AC80" s="4" cm="1">
        <f t="array" ref="AC80">AC78+IF((COLUMN()-COLUMN($D$78)+1)=HoryzontInw,AC85,0)</f>
        <v>42486.879221110852</v>
      </c>
      <c r="AD80" s="4" cm="1">
        <f t="array" ref="AD80">AD78+IF((COLUMN()-COLUMN($D$78)+1)=HoryzontInw,AD85,0)</f>
        <v>44376.713838459429</v>
      </c>
      <c r="AE80" s="4" cm="1">
        <f t="array" ref="AE80">AE78+IF((COLUMN()-COLUMN($D$78)+1)=HoryzontInw,AE85,0)</f>
        <v>46323.774653343891</v>
      </c>
      <c r="AF80" s="4" cm="1">
        <f t="array" ref="AF80">AF78+IF((COLUMN()-COLUMN($D$78)+1)=HoryzontInw,AF85,0)</f>
        <v>48329.800091928148</v>
      </c>
      <c r="AG80" s="4" cm="1">
        <f t="array" ref="AG80">AG78+IF((COLUMN()-COLUMN($D$78)+1)=HoryzontInw,AG85,0)</f>
        <v>50373.084755566771</v>
      </c>
      <c r="AH80" s="4" cm="1">
        <f t="array" ref="AH80">AH78+IF((COLUMN()-COLUMN($D$78)+1)=HoryzontInw,AH85,0)</f>
        <v>69560.993789932516</v>
      </c>
      <c r="AI80" s="4" cm="1">
        <f t="array" ref="AI80">AI78+IF((COLUMN()-COLUMN($D$78)+1)=HoryzontInw,AI85,0)</f>
        <v>73250.554060184149</v>
      </c>
      <c r="AJ80" s="4" cm="1">
        <f t="array" ref="AJ80">AJ78+IF((COLUMN()-COLUMN($D$78)+1)=HoryzontInw,AJ85,0)</f>
        <v>75374.083755875385</v>
      </c>
      <c r="AK80" s="4" cm="1">
        <f t="array" ref="AK80">AK78+IF((COLUMN()-COLUMN($D$78)+1)=HoryzontInw,AK85,0)</f>
        <v>77515.306268551649</v>
      </c>
      <c r="AL80" s="4" cm="1">
        <f t="array" ref="AL80">AL78+IF((COLUMN()-COLUMN($D$78)+1)=HoryzontInw,AL85,0)</f>
        <v>79720.765456608191</v>
      </c>
      <c r="AM80" s="4" cm="1">
        <f t="array" ref="AM80">AM78+IF((COLUMN()-COLUMN($D$78)+1)=HoryzontInw,AM85,0)</f>
        <v>81992.388420306437</v>
      </c>
      <c r="AN80" s="4" cm="1">
        <f t="array" ref="AN80">AN78+IF((COLUMN()-COLUMN($D$78)+1)=HoryzontInw,AN85,0)</f>
        <v>84332.160072915649</v>
      </c>
      <c r="AO80" s="4" cm="1">
        <f t="array" ref="AO80">AO78+IF((COLUMN()-COLUMN($D$78)+1)=HoryzontInw,AO85,0)</f>
        <v>86742.124875103109</v>
      </c>
      <c r="AP80" s="4" cm="1">
        <f t="array" ref="AP80">AP78+IF((COLUMN()-COLUMN($D$78)+1)=HoryzontInw,AP85,0)</f>
        <v>89224.388621356207</v>
      </c>
      <c r="AQ80" s="4" cm="1">
        <f t="array" ref="AQ80">AQ78+IF((COLUMN()-COLUMN($D$78)+1)=HoryzontInw,AQ85,0)</f>
        <v>91781.120279996903</v>
      </c>
      <c r="AR80" s="4" cm="1">
        <f t="array" ref="AR80">AR78+IF((COLUMN()-COLUMN($D$78)+1)=HoryzontInw,AR85,0)</f>
        <v>94414.553888396811</v>
      </c>
      <c r="AS80" s="4" cm="1">
        <f t="array" ref="AS80">AS78+IF((COLUMN()-COLUMN($D$78)+1)=HoryzontInw,AS85,0)</f>
        <v>97126.990505048714</v>
      </c>
      <c r="AT80" s="4" cm="1">
        <f t="array" ref="AT80">AT78+IF((COLUMN()-COLUMN($D$78)+1)=HoryzontInw,AT85,0)</f>
        <v>99920.800220200181</v>
      </c>
      <c r="AU80" s="4" cm="1">
        <f t="array" ref="AU80">AU78+IF((COLUMN()-COLUMN($D$78)+1)=HoryzontInw,AU85,0)</f>
        <v>102798.42422680618</v>
      </c>
      <c r="AV80" s="4" cm="1">
        <f t="array" ref="AV80">AV78+IF((COLUMN()-COLUMN($D$78)+1)=HoryzontInw,AV85,0)</f>
        <v>105762.37695361038</v>
      </c>
      <c r="AW80" s="4" cm="1">
        <f t="array" ref="AW80">AW78+IF((COLUMN()-COLUMN($D$78)+1)=HoryzontInw,AW85,0)</f>
        <v>108815.24826221867</v>
      </c>
      <c r="AX80" s="4" cm="1">
        <f t="array" ref="AX80">AX78+IF((COLUMN()-COLUMN($D$78)+1)=HoryzontInw,AX85,0)</f>
        <v>111959.70571008523</v>
      </c>
      <c r="AY80" s="4" cm="1">
        <f t="array" ref="AY80">AY78+IF((COLUMN()-COLUMN($D$78)+1)=HoryzontInw,AY85,0)</f>
        <v>115198.49688138779</v>
      </c>
      <c r="AZ80" s="4" cm="1">
        <f t="array" ref="AZ80">AZ78+IF((COLUMN()-COLUMN($D$78)+1)=HoryzontInw,AZ85,0)</f>
        <v>118534.45178782943</v>
      </c>
      <c r="BA80" s="4" cm="1">
        <f t="array" ref="BA80">BA78+IF((COLUMN()-COLUMN($D$78)+1)=HoryzontInw,BA85,0)</f>
        <v>121970.48534146431</v>
      </c>
      <c r="BB80"/>
    </row>
    <row r="81" spans="1:54">
      <c r="A81"/>
      <c r="B81" s="34" t="s">
        <v>233</v>
      </c>
      <c r="C81" s="34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</row>
    <row r="82" spans="1:54">
      <c r="A82"/>
      <c r="B82" s="36" t="s">
        <v>234</v>
      </c>
      <c r="C82" s="36"/>
      <c r="D82" s="1">
        <f>D51</f>
        <v>0</v>
      </c>
      <c r="E82" s="2">
        <f t="shared" ref="E82:BA82" si="13">E51</f>
        <v>0.03</v>
      </c>
      <c r="F82" s="2">
        <f t="shared" si="13"/>
        <v>0.03</v>
      </c>
      <c r="G82" s="2">
        <f t="shared" si="13"/>
        <v>0.03</v>
      </c>
      <c r="H82" s="2">
        <f t="shared" si="13"/>
        <v>0.03</v>
      </c>
      <c r="I82" s="2">
        <f t="shared" si="13"/>
        <v>0.03</v>
      </c>
      <c r="J82" s="2">
        <f t="shared" si="13"/>
        <v>0.03</v>
      </c>
      <c r="K82" s="2">
        <f t="shared" si="13"/>
        <v>0.03</v>
      </c>
      <c r="L82" s="2">
        <f t="shared" si="13"/>
        <v>0.03</v>
      </c>
      <c r="M82" s="2">
        <f t="shared" si="13"/>
        <v>0.03</v>
      </c>
      <c r="N82" s="2">
        <f t="shared" si="13"/>
        <v>0.03</v>
      </c>
      <c r="O82" s="2">
        <f t="shared" si="13"/>
        <v>0.03</v>
      </c>
      <c r="P82" s="2">
        <f t="shared" si="13"/>
        <v>0.03</v>
      </c>
      <c r="Q82" s="2">
        <f t="shared" si="13"/>
        <v>0.03</v>
      </c>
      <c r="R82" s="2">
        <f t="shared" si="13"/>
        <v>0.03</v>
      </c>
      <c r="S82" s="2">
        <f t="shared" si="13"/>
        <v>0.03</v>
      </c>
      <c r="T82" s="2">
        <f t="shared" si="13"/>
        <v>0.03</v>
      </c>
      <c r="U82" s="2">
        <f t="shared" si="13"/>
        <v>0.03</v>
      </c>
      <c r="V82" s="2">
        <f t="shared" si="13"/>
        <v>0.03</v>
      </c>
      <c r="W82" s="2">
        <f t="shared" si="13"/>
        <v>0.03</v>
      </c>
      <c r="X82" s="2">
        <f t="shared" si="13"/>
        <v>0.03</v>
      </c>
      <c r="Y82" s="2">
        <f t="shared" si="13"/>
        <v>0.03</v>
      </c>
      <c r="Z82" s="2">
        <f t="shared" si="13"/>
        <v>0.03</v>
      </c>
      <c r="AA82" s="2">
        <f t="shared" si="13"/>
        <v>0.03</v>
      </c>
      <c r="AB82" s="2">
        <f t="shared" si="13"/>
        <v>0.03</v>
      </c>
      <c r="AC82" s="2">
        <f t="shared" si="13"/>
        <v>0.03</v>
      </c>
      <c r="AD82" s="2">
        <f t="shared" si="13"/>
        <v>0.03</v>
      </c>
      <c r="AE82" s="2">
        <f t="shared" si="13"/>
        <v>0.03</v>
      </c>
      <c r="AF82" s="2">
        <f t="shared" si="13"/>
        <v>0.03</v>
      </c>
      <c r="AG82" s="2">
        <f t="shared" si="13"/>
        <v>0.03</v>
      </c>
      <c r="AH82" s="2">
        <f t="shared" si="13"/>
        <v>0.03</v>
      </c>
      <c r="AI82" s="2">
        <f t="shared" si="13"/>
        <v>0.03</v>
      </c>
      <c r="AJ82" s="2">
        <f t="shared" si="13"/>
        <v>0.03</v>
      </c>
      <c r="AK82" s="2">
        <f t="shared" si="13"/>
        <v>0.03</v>
      </c>
      <c r="AL82" s="2">
        <f t="shared" si="13"/>
        <v>0.03</v>
      </c>
      <c r="AM82" s="2">
        <f t="shared" si="13"/>
        <v>0.03</v>
      </c>
      <c r="AN82" s="2">
        <f t="shared" si="13"/>
        <v>0.03</v>
      </c>
      <c r="AO82" s="2">
        <f t="shared" si="13"/>
        <v>0.03</v>
      </c>
      <c r="AP82" s="2">
        <f t="shared" si="13"/>
        <v>0.03</v>
      </c>
      <c r="AQ82" s="2">
        <f t="shared" si="13"/>
        <v>0.03</v>
      </c>
      <c r="AR82" s="2">
        <f t="shared" si="13"/>
        <v>0.03</v>
      </c>
      <c r="AS82" s="2">
        <f t="shared" si="13"/>
        <v>0.03</v>
      </c>
      <c r="AT82" s="2">
        <f t="shared" si="13"/>
        <v>0.03</v>
      </c>
      <c r="AU82" s="2">
        <f t="shared" si="13"/>
        <v>0.03</v>
      </c>
      <c r="AV82" s="2">
        <f t="shared" si="13"/>
        <v>0.03</v>
      </c>
      <c r="AW82" s="2">
        <f t="shared" si="13"/>
        <v>0.03</v>
      </c>
      <c r="AX82" s="2">
        <f t="shared" si="13"/>
        <v>0.03</v>
      </c>
      <c r="AY82" s="2">
        <f t="shared" si="13"/>
        <v>0.03</v>
      </c>
      <c r="AZ82" s="2">
        <f t="shared" si="13"/>
        <v>0.03</v>
      </c>
      <c r="BA82" s="2">
        <f t="shared" si="13"/>
        <v>0.03</v>
      </c>
      <c r="BB82"/>
    </row>
    <row r="83" spans="1:54">
      <c r="A83"/>
      <c r="B83" s="36" t="s">
        <v>235</v>
      </c>
      <c r="C83" s="36"/>
      <c r="D83" s="1">
        <v>0</v>
      </c>
      <c r="E83" s="1">
        <f t="shared" ref="E83:AJ83" si="14">StałyProcZmianWarNier</f>
        <v>0.01</v>
      </c>
      <c r="F83" s="1">
        <f t="shared" si="14"/>
        <v>0.01</v>
      </c>
      <c r="G83" s="1">
        <f t="shared" si="14"/>
        <v>0.01</v>
      </c>
      <c r="H83" s="1">
        <f t="shared" si="14"/>
        <v>0.01</v>
      </c>
      <c r="I83" s="1">
        <f t="shared" si="14"/>
        <v>0.01</v>
      </c>
      <c r="J83" s="1">
        <f t="shared" si="14"/>
        <v>0.01</v>
      </c>
      <c r="K83" s="1">
        <f t="shared" si="14"/>
        <v>0.01</v>
      </c>
      <c r="L83" s="1">
        <f t="shared" si="14"/>
        <v>0.01</v>
      </c>
      <c r="M83" s="1">
        <f t="shared" si="14"/>
        <v>0.01</v>
      </c>
      <c r="N83" s="1">
        <f t="shared" si="14"/>
        <v>0.01</v>
      </c>
      <c r="O83" s="1">
        <f t="shared" si="14"/>
        <v>0.01</v>
      </c>
      <c r="P83" s="1">
        <f t="shared" si="14"/>
        <v>0.01</v>
      </c>
      <c r="Q83" s="1">
        <f t="shared" si="14"/>
        <v>0.01</v>
      </c>
      <c r="R83" s="1">
        <f t="shared" si="14"/>
        <v>0.01</v>
      </c>
      <c r="S83" s="1">
        <f t="shared" si="14"/>
        <v>0.01</v>
      </c>
      <c r="T83" s="1">
        <f t="shared" si="14"/>
        <v>0.01</v>
      </c>
      <c r="U83" s="1">
        <f t="shared" si="14"/>
        <v>0.01</v>
      </c>
      <c r="V83" s="1">
        <f t="shared" si="14"/>
        <v>0.01</v>
      </c>
      <c r="W83" s="1">
        <f t="shared" si="14"/>
        <v>0.01</v>
      </c>
      <c r="X83" s="1">
        <f t="shared" si="14"/>
        <v>0.01</v>
      </c>
      <c r="Y83" s="1">
        <f t="shared" si="14"/>
        <v>0.01</v>
      </c>
      <c r="Z83" s="1">
        <f t="shared" si="14"/>
        <v>0.01</v>
      </c>
      <c r="AA83" s="1">
        <f t="shared" si="14"/>
        <v>0.01</v>
      </c>
      <c r="AB83" s="1">
        <f t="shared" si="14"/>
        <v>0.01</v>
      </c>
      <c r="AC83" s="1">
        <f t="shared" si="14"/>
        <v>0.01</v>
      </c>
      <c r="AD83" s="1">
        <f t="shared" si="14"/>
        <v>0.01</v>
      </c>
      <c r="AE83" s="1">
        <f t="shared" si="14"/>
        <v>0.01</v>
      </c>
      <c r="AF83" s="1">
        <f t="shared" si="14"/>
        <v>0.01</v>
      </c>
      <c r="AG83" s="1">
        <f t="shared" si="14"/>
        <v>0.01</v>
      </c>
      <c r="AH83" s="1">
        <f t="shared" si="14"/>
        <v>0.01</v>
      </c>
      <c r="AI83" s="1">
        <f t="shared" si="14"/>
        <v>0.01</v>
      </c>
      <c r="AJ83" s="1">
        <f t="shared" si="14"/>
        <v>0.01</v>
      </c>
      <c r="AK83" s="1">
        <f t="shared" ref="AK83:BA83" si="15">StałyProcZmianWarNier</f>
        <v>0.01</v>
      </c>
      <c r="AL83" s="1">
        <f t="shared" si="15"/>
        <v>0.01</v>
      </c>
      <c r="AM83" s="1">
        <f t="shared" si="15"/>
        <v>0.01</v>
      </c>
      <c r="AN83" s="1">
        <f t="shared" si="15"/>
        <v>0.01</v>
      </c>
      <c r="AO83" s="1">
        <f t="shared" si="15"/>
        <v>0.01</v>
      </c>
      <c r="AP83" s="1">
        <f t="shared" si="15"/>
        <v>0.01</v>
      </c>
      <c r="AQ83" s="1">
        <f t="shared" si="15"/>
        <v>0.01</v>
      </c>
      <c r="AR83" s="1">
        <f t="shared" si="15"/>
        <v>0.01</v>
      </c>
      <c r="AS83" s="1">
        <f t="shared" si="15"/>
        <v>0.01</v>
      </c>
      <c r="AT83" s="1">
        <f t="shared" si="15"/>
        <v>0.01</v>
      </c>
      <c r="AU83" s="1">
        <f t="shared" si="15"/>
        <v>0.01</v>
      </c>
      <c r="AV83" s="1">
        <f t="shared" si="15"/>
        <v>0.01</v>
      </c>
      <c r="AW83" s="1">
        <f t="shared" si="15"/>
        <v>0.01</v>
      </c>
      <c r="AX83" s="1">
        <f t="shared" si="15"/>
        <v>0.01</v>
      </c>
      <c r="AY83" s="1">
        <f t="shared" si="15"/>
        <v>0.01</v>
      </c>
      <c r="AZ83" s="1">
        <f t="shared" si="15"/>
        <v>0.01</v>
      </c>
      <c r="BA83" s="1">
        <f t="shared" si="15"/>
        <v>0.01</v>
      </c>
      <c r="BB83"/>
    </row>
    <row r="84" spans="1:54">
      <c r="A84"/>
      <c r="B84" s="36" t="s">
        <v>236</v>
      </c>
      <c r="C84" s="36"/>
      <c r="D84" s="94">
        <v>0</v>
      </c>
      <c r="E84" s="94">
        <f t="shared" ref="E84:AJ84" si="16">StałaKwotaZmianyWartoNierucho</f>
        <v>50000</v>
      </c>
      <c r="F84" s="94">
        <f t="shared" si="16"/>
        <v>50000</v>
      </c>
      <c r="G84" s="94">
        <f t="shared" si="16"/>
        <v>50000</v>
      </c>
      <c r="H84" s="94">
        <f t="shared" si="16"/>
        <v>50000</v>
      </c>
      <c r="I84" s="94">
        <f t="shared" si="16"/>
        <v>50000</v>
      </c>
      <c r="J84" s="94">
        <f t="shared" si="16"/>
        <v>50000</v>
      </c>
      <c r="K84" s="94">
        <f t="shared" si="16"/>
        <v>50000</v>
      </c>
      <c r="L84" s="94">
        <f t="shared" si="16"/>
        <v>50000</v>
      </c>
      <c r="M84" s="94">
        <f t="shared" si="16"/>
        <v>50000</v>
      </c>
      <c r="N84" s="94">
        <f t="shared" si="16"/>
        <v>50000</v>
      </c>
      <c r="O84" s="94">
        <f t="shared" si="16"/>
        <v>50000</v>
      </c>
      <c r="P84" s="94">
        <f t="shared" si="16"/>
        <v>50000</v>
      </c>
      <c r="Q84" s="94">
        <f t="shared" si="16"/>
        <v>50000</v>
      </c>
      <c r="R84" s="94">
        <f t="shared" si="16"/>
        <v>50000</v>
      </c>
      <c r="S84" s="94">
        <f t="shared" si="16"/>
        <v>50000</v>
      </c>
      <c r="T84" s="94">
        <f t="shared" si="16"/>
        <v>50000</v>
      </c>
      <c r="U84" s="94">
        <f t="shared" si="16"/>
        <v>50000</v>
      </c>
      <c r="V84" s="94">
        <f t="shared" si="16"/>
        <v>50000</v>
      </c>
      <c r="W84" s="94">
        <f t="shared" si="16"/>
        <v>50000</v>
      </c>
      <c r="X84" s="94">
        <f t="shared" si="16"/>
        <v>50000</v>
      </c>
      <c r="Y84" s="94">
        <f t="shared" si="16"/>
        <v>50000</v>
      </c>
      <c r="Z84" s="94">
        <f t="shared" si="16"/>
        <v>50000</v>
      </c>
      <c r="AA84" s="94">
        <f t="shared" si="16"/>
        <v>50000</v>
      </c>
      <c r="AB84" s="94">
        <f t="shared" si="16"/>
        <v>50000</v>
      </c>
      <c r="AC84" s="94">
        <f t="shared" si="16"/>
        <v>50000</v>
      </c>
      <c r="AD84" s="94">
        <f t="shared" si="16"/>
        <v>50000</v>
      </c>
      <c r="AE84" s="94">
        <f t="shared" si="16"/>
        <v>50000</v>
      </c>
      <c r="AF84" s="94">
        <f t="shared" si="16"/>
        <v>50000</v>
      </c>
      <c r="AG84" s="94">
        <f t="shared" si="16"/>
        <v>50000</v>
      </c>
      <c r="AH84" s="94">
        <f t="shared" si="16"/>
        <v>50000</v>
      </c>
      <c r="AI84" s="94">
        <f t="shared" si="16"/>
        <v>50000</v>
      </c>
      <c r="AJ84" s="94">
        <f t="shared" si="16"/>
        <v>50000</v>
      </c>
      <c r="AK84" s="94">
        <f t="shared" ref="AK84:BA84" si="17">StałaKwotaZmianyWartoNierucho</f>
        <v>50000</v>
      </c>
      <c r="AL84" s="94">
        <f t="shared" si="17"/>
        <v>50000</v>
      </c>
      <c r="AM84" s="94">
        <f t="shared" si="17"/>
        <v>50000</v>
      </c>
      <c r="AN84" s="94">
        <f t="shared" si="17"/>
        <v>50000</v>
      </c>
      <c r="AO84" s="94">
        <f t="shared" si="17"/>
        <v>50000</v>
      </c>
      <c r="AP84" s="94">
        <f t="shared" si="17"/>
        <v>50000</v>
      </c>
      <c r="AQ84" s="94">
        <f t="shared" si="17"/>
        <v>50000</v>
      </c>
      <c r="AR84" s="94">
        <f t="shared" si="17"/>
        <v>50000</v>
      </c>
      <c r="AS84" s="94">
        <f t="shared" si="17"/>
        <v>50000</v>
      </c>
      <c r="AT84" s="94">
        <f t="shared" si="17"/>
        <v>50000</v>
      </c>
      <c r="AU84" s="94">
        <f t="shared" si="17"/>
        <v>50000</v>
      </c>
      <c r="AV84" s="94">
        <f t="shared" si="17"/>
        <v>50000</v>
      </c>
      <c r="AW84" s="94">
        <f t="shared" si="17"/>
        <v>50000</v>
      </c>
      <c r="AX84" s="94">
        <f t="shared" si="17"/>
        <v>50000</v>
      </c>
      <c r="AY84" s="94">
        <f t="shared" si="17"/>
        <v>50000</v>
      </c>
      <c r="AZ84" s="94">
        <f t="shared" si="17"/>
        <v>50000</v>
      </c>
      <c r="BA84" s="94">
        <f t="shared" si="17"/>
        <v>50000</v>
      </c>
      <c r="BB84"/>
    </row>
    <row r="85" spans="1:54">
      <c r="A85"/>
      <c r="B85" s="36" t="s">
        <v>237</v>
      </c>
      <c r="C85" s="36"/>
      <c r="D85" s="94">
        <f>WartośćM</f>
        <v>408000</v>
      </c>
      <c r="E85" s="94">
        <f>IF(WspółZmianyWartoNierucho="bez zmian",'Wynik '!D85,IF(WspółZmianyWartoNierucho="inflacyjnie",'Wynik '!D85*(1+E82),IF(WspółZmianyWartoNierucho="stały %",D85*(1+E83),IF(WspółZmianyWartoNierucho="stała kwota",D85+E84,D85))))</f>
        <v>420240</v>
      </c>
      <c r="F85" s="94">
        <f>IF(WspółZmianyWartoNierucho="bez zmian",'Wynik '!E85,IF(WspółZmianyWartoNierucho="inflacyjnie",'Wynik '!E85*(1+F82),IF(WspółZmianyWartoNierucho="stały %",E85*(1+F83),IF(WspółZmianyWartoNierucho="stała kwota",E85+F84,E85))))</f>
        <v>432847.2</v>
      </c>
      <c r="G85" s="94">
        <f>IF(WspółZmianyWartoNierucho="bez zmian",'Wynik '!F85,IF(WspółZmianyWartoNierucho="inflacyjnie",'Wynik '!F85*(1+G82),IF(WspółZmianyWartoNierucho="stały %",F85*(1+G83),IF(WspółZmianyWartoNierucho="stała kwota",F85+G84,F85))))</f>
        <v>445832.61600000004</v>
      </c>
      <c r="H85" s="94">
        <f>IF(WspółZmianyWartoNierucho="bez zmian",'Wynik '!G85,IF(WspółZmianyWartoNierucho="inflacyjnie",'Wynik '!G85*(1+H82),IF(WspółZmianyWartoNierucho="stały %",G85*(1+H83),IF(WspółZmianyWartoNierucho="stała kwota",G85+H84,G85))))</f>
        <v>459207.59448000003</v>
      </c>
      <c r="I85" s="94">
        <f>IF(WspółZmianyWartoNierucho="bez zmian",'Wynik '!H85,IF(WspółZmianyWartoNierucho="inflacyjnie",'Wynik '!H85*(1+I82),IF(WspółZmianyWartoNierucho="stały %",H85*(1+I83),IF(WspółZmianyWartoNierucho="stała kwota",H85+I84,H85))))</f>
        <v>472983.82231440005</v>
      </c>
      <c r="J85" s="94">
        <f>IF(WspółZmianyWartoNierucho="bez zmian",'Wynik '!I85,IF(WspółZmianyWartoNierucho="inflacyjnie",'Wynik '!I85*(1+J82),IF(WspółZmianyWartoNierucho="stały %",I85*(1+J83),IF(WspółZmianyWartoNierucho="stała kwota",I85+J84,I85))))</f>
        <v>487173.33698383207</v>
      </c>
      <c r="K85" s="94">
        <f>IF(WspółZmianyWartoNierucho="bez zmian",'Wynik '!J85,IF(WspółZmianyWartoNierucho="inflacyjnie",'Wynik '!J85*(1+K82),IF(WspółZmianyWartoNierucho="stały %",J85*(1+K83),IF(WspółZmianyWartoNierucho="stała kwota",J85+K84,J85))))</f>
        <v>501788.53709334705</v>
      </c>
      <c r="L85" s="94">
        <f>IF(WspółZmianyWartoNierucho="bez zmian",'Wynik '!K85,IF(WspółZmianyWartoNierucho="inflacyjnie",'Wynik '!K85*(1+L82),IF(WspółZmianyWartoNierucho="stały %",K85*(1+L83),IF(WspółZmianyWartoNierucho="stała kwota",K85+L84,K85))))</f>
        <v>516842.19320614747</v>
      </c>
      <c r="M85" s="94">
        <f>IF(WspółZmianyWartoNierucho="bez zmian",'Wynik '!L85,IF(WspółZmianyWartoNierucho="inflacyjnie",'Wynik '!L85*(1+M82),IF(WspółZmianyWartoNierucho="stały %",L85*(1+M83),IF(WspółZmianyWartoNierucho="stała kwota",L85+M84,L85))))</f>
        <v>532347.45900233195</v>
      </c>
      <c r="N85" s="94">
        <f>IF(WspółZmianyWartoNierucho="bez zmian",'Wynik '!M85,IF(WspółZmianyWartoNierucho="inflacyjnie",'Wynik '!M85*(1+N82),IF(WspółZmianyWartoNierucho="stały %",M85*(1+N83),IF(WspółZmianyWartoNierucho="stała kwota",M85+N84,M85))))</f>
        <v>548317.88277240191</v>
      </c>
      <c r="O85" s="94">
        <f>IF(WspółZmianyWartoNierucho="bez zmian",'Wynik '!N85,IF(WspółZmianyWartoNierucho="inflacyjnie",'Wynik '!N85*(1+O82),IF(WspółZmianyWartoNierucho="stały %",N85*(1+O83),IF(WspółZmianyWartoNierucho="stała kwota",N85+O84,N85))))</f>
        <v>564767.419255574</v>
      </c>
      <c r="P85" s="94">
        <f>IF(WspółZmianyWartoNierucho="bez zmian",'Wynik '!O85,IF(WspółZmianyWartoNierucho="inflacyjnie",'Wynik '!O85*(1+P82),IF(WspółZmianyWartoNierucho="stały %",O85*(1+P83),IF(WspółZmianyWartoNierucho="stała kwota",O85+P84,O85))))</f>
        <v>581710.44183324126</v>
      </c>
      <c r="Q85" s="94">
        <f>IF(WspółZmianyWartoNierucho="bez zmian",'Wynik '!P85,IF(WspółZmianyWartoNierucho="inflacyjnie",'Wynik '!P85*(1+Q82),IF(WspółZmianyWartoNierucho="stały %",P85*(1+Q83),IF(WspółZmianyWartoNierucho="stała kwota",P85+Q84,P85))))</f>
        <v>599161.75508823851</v>
      </c>
      <c r="R85" s="94">
        <f>IF(WspółZmianyWartoNierucho="bez zmian",'Wynik '!Q85,IF(WspółZmianyWartoNierucho="inflacyjnie",'Wynik '!Q85*(1+R82),IF(WspółZmianyWartoNierucho="stały %",Q85*(1+R83),IF(WspółZmianyWartoNierucho="stała kwota",Q85+R84,Q85))))</f>
        <v>617136.60774088569</v>
      </c>
      <c r="S85" s="94">
        <f>IF(WspółZmianyWartoNierucho="bez zmian",'Wynik '!R85,IF(WspółZmianyWartoNierucho="inflacyjnie",'Wynik '!R85*(1+S82),IF(WspółZmianyWartoNierucho="stały %",R85*(1+S83),IF(WspółZmianyWartoNierucho="stała kwota",R85+S84,R85))))</f>
        <v>635650.70597311226</v>
      </c>
      <c r="T85" s="94">
        <f>IF(WspółZmianyWartoNierucho="bez zmian",'Wynik '!S85,IF(WspółZmianyWartoNierucho="inflacyjnie",'Wynik '!S85*(1+T82),IF(WspółZmianyWartoNierucho="stały %",S85*(1+T83),IF(WspółZmianyWartoNierucho="stała kwota",S85+T84,S85))))</f>
        <v>654720.22715230566</v>
      </c>
      <c r="U85" s="94">
        <f>IF(WspółZmianyWartoNierucho="bez zmian",'Wynik '!T85,IF(WspółZmianyWartoNierucho="inflacyjnie",'Wynik '!T85*(1+U82),IF(WspółZmianyWartoNierucho="stały %",T85*(1+U83),IF(WspółZmianyWartoNierucho="stała kwota",T85+U84,T85))))</f>
        <v>674361.83396687487</v>
      </c>
      <c r="V85" s="94">
        <f>IF(WspółZmianyWartoNierucho="bez zmian",'Wynik '!U85,IF(WspółZmianyWartoNierucho="inflacyjnie",'Wynik '!U85*(1+V82),IF(WspółZmianyWartoNierucho="stały %",U85*(1+V83),IF(WspółZmianyWartoNierucho="stała kwota",U85+V84,U85))))</f>
        <v>694592.68898588116</v>
      </c>
      <c r="W85" s="94">
        <f>IF(WspółZmianyWartoNierucho="bez zmian",'Wynik '!V85,IF(WspółZmianyWartoNierucho="inflacyjnie",'Wynik '!V85*(1+W82),IF(WspółZmianyWartoNierucho="stały %",V85*(1+W83),IF(WspółZmianyWartoNierucho="stała kwota",V85+W84,V85))))</f>
        <v>715430.46965545765</v>
      </c>
      <c r="X85" s="94">
        <f>IF(WspółZmianyWartoNierucho="bez zmian",'Wynik '!W85,IF(WspółZmianyWartoNierucho="inflacyjnie",'Wynik '!W85*(1+X82),IF(WspółZmianyWartoNierucho="stały %",W85*(1+X83),IF(WspółZmianyWartoNierucho="stała kwota",W85+X84,W85))))</f>
        <v>736893.38374512142</v>
      </c>
      <c r="Y85" s="94">
        <f>IF(WspółZmianyWartoNierucho="bez zmian",'Wynik '!X85,IF(WspółZmianyWartoNierucho="inflacyjnie",'Wynik '!X85*(1+Y82),IF(WspółZmianyWartoNierucho="stały %",X85*(1+Y83),IF(WspółZmianyWartoNierucho="stała kwota",X85+Y84,X85))))</f>
        <v>759000.18525747512</v>
      </c>
      <c r="Z85" s="94">
        <f>IF(WspółZmianyWartoNierucho="bez zmian",'Wynik '!Y85,IF(WspółZmianyWartoNierucho="inflacyjnie",'Wynik '!Y85*(1+Z82),IF(WspółZmianyWartoNierucho="stały %",Y85*(1+Z83),IF(WspółZmianyWartoNierucho="stała kwota",Y85+Z84,Y85))))</f>
        <v>781770.1908151994</v>
      </c>
      <c r="AA85" s="94">
        <f>IF(WspółZmianyWartoNierucho="bez zmian",'Wynik '!Z85,IF(WspółZmianyWartoNierucho="inflacyjnie",'Wynik '!Z85*(1+AA82),IF(WspółZmianyWartoNierucho="stały %",Z85*(1+AA83),IF(WspółZmianyWartoNierucho="stała kwota",Z85+AA84,Z85))))</f>
        <v>805223.29653965542</v>
      </c>
      <c r="AB85" s="94">
        <f>IF(WspółZmianyWartoNierucho="bez zmian",'Wynik '!AA85,IF(WspółZmianyWartoNierucho="inflacyjnie",'Wynik '!AA85*(1+AB82),IF(WspółZmianyWartoNierucho="stały %",AA85*(1+AB83),IF(WspółZmianyWartoNierucho="stała kwota",AA85+AB84,AA85))))</f>
        <v>829379.99543584511</v>
      </c>
      <c r="AC85" s="94">
        <f>IF(WspółZmianyWartoNierucho="bez zmian",'Wynik '!AB85,IF(WspółZmianyWartoNierucho="inflacyjnie",'Wynik '!AB85*(1+AC82),IF(WspółZmianyWartoNierucho="stały %",AB85*(1+AC83),IF(WspółZmianyWartoNierucho="stała kwota",AB85+AC84,AB85))))</f>
        <v>854261.39529892046</v>
      </c>
      <c r="AD85" s="94">
        <f>IF(WspółZmianyWartoNierucho="bez zmian",'Wynik '!AC85,IF(WspółZmianyWartoNierucho="inflacyjnie",'Wynik '!AC85*(1+AD82),IF(WspółZmianyWartoNierucho="stały %",AC85*(1+AD83),IF(WspółZmianyWartoNierucho="stała kwota",AC85+AD84,AC85))))</f>
        <v>879889.23715788813</v>
      </c>
      <c r="AE85" s="94">
        <f>IF(WspółZmianyWartoNierucho="bez zmian",'Wynik '!AD85,IF(WspółZmianyWartoNierucho="inflacyjnie",'Wynik '!AD85*(1+AE82),IF(WspółZmianyWartoNierucho="stały %",AD85*(1+AE83),IF(WspółZmianyWartoNierucho="stała kwota",AD85+AE84,AD85))))</f>
        <v>906285.91427262477</v>
      </c>
      <c r="AF85" s="94">
        <f>IF(WspółZmianyWartoNierucho="bez zmian",'Wynik '!AE85,IF(WspółZmianyWartoNierucho="inflacyjnie",'Wynik '!AE85*(1+AF82),IF(WspółZmianyWartoNierucho="stały %",AE85*(1+AF83),IF(WspółZmianyWartoNierucho="stała kwota",AE85+AF84,AE85))))</f>
        <v>933474.49170080351</v>
      </c>
      <c r="AG85" s="94">
        <f>IF(WspółZmianyWartoNierucho="bez zmian",'Wynik '!AF85,IF(WspółZmianyWartoNierucho="inflacyjnie",'Wynik '!AF85*(1+AG82),IF(WspółZmianyWartoNierucho="stały %",AF85*(1+AG83),IF(WspółZmianyWartoNierucho="stała kwota",AF85+AG84,AF85))))</f>
        <v>961478.72645182768</v>
      </c>
      <c r="AH85" s="94">
        <f>IF(WspółZmianyWartoNierucho="bez zmian",'Wynik '!AG85,IF(WspółZmianyWartoNierucho="inflacyjnie",'Wynik '!AG85*(1+AH82),IF(WspółZmianyWartoNierucho="stały %",AG85*(1+AH83),IF(WspółZmianyWartoNierucho="stała kwota",AG85+AH84,AG85))))</f>
        <v>990323.08824538253</v>
      </c>
      <c r="AI85" s="94">
        <f>IF(WspółZmianyWartoNierucho="bez zmian",'Wynik '!AH85,IF(WspółZmianyWartoNierucho="inflacyjnie",'Wynik '!AH85*(1+AI82),IF(WspółZmianyWartoNierucho="stały %",AH85*(1+AI83),IF(WspółZmianyWartoNierucho="stała kwota",AH85+AI84,AH85))))</f>
        <v>1020032.7808927441</v>
      </c>
      <c r="AJ85" s="94">
        <f>IF(WspółZmianyWartoNierucho="bez zmian",'Wynik '!AI85,IF(WspółZmianyWartoNierucho="inflacyjnie",'Wynik '!AI85*(1+AJ82),IF(WspółZmianyWartoNierucho="stały %",AI85*(1+AJ83),IF(WspółZmianyWartoNierucho="stała kwota",AI85+AJ84,AI85))))</f>
        <v>1050633.7643195265</v>
      </c>
      <c r="AK85" s="94">
        <f>IF(WspółZmianyWartoNierucho="bez zmian",'Wynik '!AJ85,IF(WspółZmianyWartoNierucho="inflacyjnie",'Wynik '!AJ85*(1+AK82),IF(WspółZmianyWartoNierucho="stały %",AJ85*(1+AK83),IF(WspółZmianyWartoNierucho="stała kwota",AJ85+AK84,AJ85))))</f>
        <v>1082152.7772491123</v>
      </c>
      <c r="AL85" s="94">
        <f>IF(WspółZmianyWartoNierucho="bez zmian",'Wynik '!AK85,IF(WspółZmianyWartoNierucho="inflacyjnie",'Wynik '!AK85*(1+AL82),IF(WspółZmianyWartoNierucho="stały %",AK85*(1+AL83),IF(WspółZmianyWartoNierucho="stała kwota",AK85+AL84,AK85))))</f>
        <v>1114617.3605665856</v>
      </c>
      <c r="AM85" s="94">
        <f>IF(WspółZmianyWartoNierucho="bez zmian",'Wynik '!AL85,IF(WspółZmianyWartoNierucho="inflacyjnie",'Wynik '!AL85*(1+AM82),IF(WspółZmianyWartoNierucho="stały %",AL85*(1+AM83),IF(WspółZmianyWartoNierucho="stała kwota",AL85+AM84,AL85))))</f>
        <v>1148055.8813835832</v>
      </c>
      <c r="AN85" s="94">
        <f>IF(WspółZmianyWartoNierucho="bez zmian",'Wynik '!AM85,IF(WspółZmianyWartoNierucho="inflacyjnie",'Wynik '!AM85*(1+AN82),IF(WspółZmianyWartoNierucho="stały %",AM85*(1+AN83),IF(WspółZmianyWartoNierucho="stała kwota",AM85+AN84,AM85))))</f>
        <v>1182497.5578250906</v>
      </c>
      <c r="AO85" s="94">
        <f>IF(WspółZmianyWartoNierucho="bez zmian",'Wynik '!AN85,IF(WspółZmianyWartoNierucho="inflacyjnie",'Wynik '!AN85*(1+AO82),IF(WspółZmianyWartoNierucho="stały %",AN85*(1+AO83),IF(WspółZmianyWartoNierucho="stała kwota",AN85+AO84,AN85))))</f>
        <v>1217972.4845598433</v>
      </c>
      <c r="AP85" s="94">
        <f>IF(WspółZmianyWartoNierucho="bez zmian",'Wynik '!AO85,IF(WspółZmianyWartoNierucho="inflacyjnie",'Wynik '!AO85*(1+AP82),IF(WspółZmianyWartoNierucho="stały %",AO85*(1+AP83),IF(WspółZmianyWartoNierucho="stała kwota",AO85+AP84,AO85))))</f>
        <v>1254511.6590966387</v>
      </c>
      <c r="AQ85" s="94">
        <f>IF(WspółZmianyWartoNierucho="bez zmian",'Wynik '!AP85,IF(WspółZmianyWartoNierucho="inflacyjnie",'Wynik '!AP85*(1+AQ82),IF(WspółZmianyWartoNierucho="stały %",AP85*(1+AQ83),IF(WspółZmianyWartoNierucho="stała kwota",AP85+AQ84,AP85))))</f>
        <v>1292147.0088695379</v>
      </c>
      <c r="AR85" s="94">
        <f>IF(WspółZmianyWartoNierucho="bez zmian",'Wynik '!AQ85,IF(WspółZmianyWartoNierucho="inflacyjnie",'Wynik '!AQ85*(1+AR82),IF(WspółZmianyWartoNierucho="stały %",AQ85*(1+AR83),IF(WspółZmianyWartoNierucho="stała kwota",AQ85+AR84,AQ85))))</f>
        <v>1330911.4191356241</v>
      </c>
      <c r="AS85" s="94">
        <f>IF(WspółZmianyWartoNierucho="bez zmian",'Wynik '!AR85,IF(WspółZmianyWartoNierucho="inflacyjnie",'Wynik '!AR85*(1+AS82),IF(WspółZmianyWartoNierucho="stały %",AR85*(1+AS83),IF(WspółZmianyWartoNierucho="stała kwota",AR85+AS84,AR85))))</f>
        <v>1370838.7617096929</v>
      </c>
      <c r="AT85" s="94">
        <f>IF(WspółZmianyWartoNierucho="bez zmian",'Wynik '!AS85,IF(WspółZmianyWartoNierucho="inflacyjnie",'Wynik '!AS85*(1+AT82),IF(WspółZmianyWartoNierucho="stały %",AS85*(1+AT83),IF(WspółZmianyWartoNierucho="stała kwota",AS85+AT84,AS85))))</f>
        <v>1411963.9245609837</v>
      </c>
      <c r="AU85" s="94">
        <f>IF(WspółZmianyWartoNierucho="bez zmian",'Wynik '!AT85,IF(WspółZmianyWartoNierucho="inflacyjnie",'Wynik '!AT85*(1+AU82),IF(WspółZmianyWartoNierucho="stały %",AT85*(1+AU83),IF(WspółZmianyWartoNierucho="stała kwota",AT85+AU84,AT85))))</f>
        <v>1454322.8422978132</v>
      </c>
      <c r="AV85" s="94">
        <f>IF(WspółZmianyWartoNierucho="bez zmian",'Wynik '!AU85,IF(WspółZmianyWartoNierucho="inflacyjnie",'Wynik '!AU85*(1+AV82),IF(WspółZmianyWartoNierucho="stały %",AU85*(1+AV83),IF(WspółZmianyWartoNierucho="stała kwota",AU85+AV84,AU85))))</f>
        <v>1497952.5275667475</v>
      </c>
      <c r="AW85" s="94">
        <f>IF(WspółZmianyWartoNierucho="bez zmian",'Wynik '!AV85,IF(WspółZmianyWartoNierucho="inflacyjnie",'Wynik '!AV85*(1+AW82),IF(WspółZmianyWartoNierucho="stały %",AV85*(1+AW83),IF(WspółZmianyWartoNierucho="stała kwota",AV85+AW84,AV85))))</f>
        <v>1542891.10339375</v>
      </c>
      <c r="AX85" s="94">
        <f>IF(WspółZmianyWartoNierucho="bez zmian",'Wynik '!AW85,IF(WspółZmianyWartoNierucho="inflacyjnie",'Wynik '!AW85*(1+AX82),IF(WspółZmianyWartoNierucho="stały %",AW85*(1+AX83),IF(WspółZmianyWartoNierucho="stała kwota",AW85+AX84,AW85))))</f>
        <v>1589177.8364955627</v>
      </c>
      <c r="AY85" s="94">
        <f>IF(WspółZmianyWartoNierucho="bez zmian",'Wynik '!AX85,IF(WspółZmianyWartoNierucho="inflacyjnie",'Wynik '!AX85*(1+AY82),IF(WspółZmianyWartoNierucho="stały %",AX85*(1+AY83),IF(WspółZmianyWartoNierucho="stała kwota",AX85+AY84,AX85))))</f>
        <v>1636853.1715904295</v>
      </c>
      <c r="AZ85" s="94">
        <f>IF(WspółZmianyWartoNierucho="bez zmian",'Wynik '!AY85,IF(WspółZmianyWartoNierucho="inflacyjnie",'Wynik '!AY85*(1+AZ82),IF(WspółZmianyWartoNierucho="stały %",AY85*(1+AZ83),IF(WspółZmianyWartoNierucho="stała kwota",AY85+AZ84,AY85))))</f>
        <v>1685958.7667381424</v>
      </c>
      <c r="BA85" s="94">
        <f>IF(WspółZmianyWartoNierucho="bez zmian",'Wynik '!AZ85,IF(WspółZmianyWartoNierucho="inflacyjnie",'Wynik '!AZ85*(1+BA82),IF(WspółZmianyWartoNierucho="stały %",AZ85*(1+BA83),IF(WspółZmianyWartoNierucho="stała kwota",AZ85+BA84,AZ85))))</f>
        <v>1736537.5297402868</v>
      </c>
      <c r="BB85"/>
    </row>
    <row r="86" spans="1:54">
      <c r="B86" s="50" t="s">
        <v>238</v>
      </c>
      <c r="D86" s="51" cm="1">
        <f t="array" ref="D86">D78/IF(CzyKredyt="Tak",WydanaGotówka2,WydanaGotówka1)</f>
        <v>0.6324921036440404</v>
      </c>
      <c r="E86" s="51" cm="1">
        <f t="array" ref="E86">E78/IF(CzyKredyt="Tak",WydanaGotówka2,WydanaGotówka1)</f>
        <v>0.76043192650437574</v>
      </c>
      <c r="F86" s="51" cm="1">
        <f t="array" ref="F86">F78/IF(CzyKredyt="Tak",WydanaGotówka2,WydanaGotówka1)</f>
        <v>0.82692481722796163</v>
      </c>
      <c r="G86" s="51" cm="1">
        <f t="array" ref="G86">G78/IF(CzyKredyt="Tak",WydanaGotówka2,WydanaGotówka1)</f>
        <v>0.89542714853041538</v>
      </c>
      <c r="H86" s="51" cm="1">
        <f t="array" ref="H86">H78/IF(CzyKredyt="Tak",WydanaGotówka2,WydanaGotówka1)</f>
        <v>0.9659998006498528</v>
      </c>
      <c r="I86" s="51" cm="1">
        <f t="array" ref="I86">I78/IF(CzyKredyt="Tak",WydanaGotówka2,WydanaGotówka1)</f>
        <v>1.0387055045550802</v>
      </c>
      <c r="J86" s="51" cm="1">
        <f t="array" ref="J86">J78/IF(CzyKredyt="Tak",WydanaGotówka2,WydanaGotówka1)</f>
        <v>1.1136088984584944</v>
      </c>
      <c r="K86" s="51" cm="1">
        <f t="array" ref="K86">K78/IF(CzyKredyt="Tak",WydanaGotówka2,WydanaGotówka1)</f>
        <v>1.1907765860647417</v>
      </c>
      <c r="L86" s="51" cm="1">
        <f t="array" ref="L86">L78/IF(CzyKredyt="Tak",WydanaGotówka2,WydanaGotówka1)</f>
        <v>1.2702771966088562</v>
      </c>
      <c r="M86" s="51" cm="1">
        <f t="array" ref="M86">M78/IF(CzyKredyt="Tak",WydanaGotówka2,WydanaGotówka1)</f>
        <v>1.3521814467392783</v>
      </c>
      <c r="N86" s="51" cm="1">
        <f t="array" ref="N86">N78/IF(CzyKredyt="Tak",WydanaGotówka2,WydanaGotówka1)</f>
        <v>1.4365622043028659</v>
      </c>
      <c r="O86" s="51" cm="1">
        <f t="array" ref="O86">O78/IF(CzyKredyt="Tak",WydanaGotówka2,WydanaGotówka1)</f>
        <v>1.5234945540908351</v>
      </c>
      <c r="P86" s="51" cm="1">
        <f t="array" ref="P86">P78/IF(CzyKredyt="Tak",WydanaGotówka2,WydanaGotówka1)</f>
        <v>1.6130558656063618</v>
      </c>
      <c r="Q86" s="51" cm="1">
        <f t="array" ref="Q86">Q78/IF(CzyKredyt="Tak",WydanaGotówka2,WydanaGotówka1)</f>
        <v>1.705325862916532</v>
      </c>
      <c r="R86" s="51" cm="1">
        <f t="array" ref="R86">R78/IF(CzyKredyt="Tak",WydanaGotówka2,WydanaGotówka1)</f>
        <v>1.8003866966532323</v>
      </c>
      <c r="S86" s="51" cm="1">
        <f t="array" ref="S86">S78/IF(CzyKredyt="Tak",WydanaGotówka2,WydanaGotówka1)</f>
        <v>1.8983230182296418</v>
      </c>
      <c r="T86" s="51" cm="1">
        <f t="array" ref="T86">T78/IF(CzyKredyt="Tak",WydanaGotówka2,WydanaGotówka1)</f>
        <v>1.9992220563410614</v>
      </c>
      <c r="U86" s="51" cm="1">
        <f t="array" ref="U86">U78/IF(CzyKredyt="Tak",WydanaGotówka2,WydanaGotówka1)</f>
        <v>2.1031736958209422</v>
      </c>
      <c r="V86" s="51" cm="1">
        <f t="array" ref="V86">V78/IF(CzyKredyt="Tak",WydanaGotówka2,WydanaGotówka1)</f>
        <v>2.210270558925254</v>
      </c>
      <c r="W86" s="51" cm="1">
        <f t="array" ref="W86">W78/IF(CzyKredyt="Tak",WydanaGotówka2,WydanaGotówka1)</f>
        <v>2.3206080891205749</v>
      </c>
      <c r="X86" s="51" cm="1">
        <f t="array" ref="X86">X78/IF(CzyKredyt="Tak",WydanaGotówka2,WydanaGotówka1)</f>
        <v>2.4342846374536697</v>
      </c>
      <c r="Y86" s="51" cm="1">
        <f t="array" ref="Y86">Y78/IF(CzyKredyt="Tak",WydanaGotówka2,WydanaGotówka1)</f>
        <v>2.5514015515827788</v>
      </c>
      <c r="Z86" s="51" cm="1">
        <f t="array" ref="Z86">Z78/IF(CzyKredyt="Tak",WydanaGotówka2,WydanaGotówka1)</f>
        <v>2.6720632675533311</v>
      </c>
      <c r="AA86" s="51" cm="1">
        <f t="array" ref="AA86">AA78/IF(CzyKredyt="Tak",WydanaGotówka2,WydanaGotówka1)</f>
        <v>2.79637740440343</v>
      </c>
      <c r="AB86" s="51" cm="1">
        <f t="array" ref="AB86">AB78/IF(CzyKredyt="Tak",WydanaGotówka2,WydanaGotówka1)</f>
        <v>2.9244548616870869</v>
      </c>
      <c r="AC86" s="51" cm="1">
        <f t="array" ref="AC86">AC78/IF(CzyKredyt="Tak",WydanaGotówka2,WydanaGotówka1)</f>
        <v>3.0564099200060104</v>
      </c>
      <c r="AD86" s="51" cm="1">
        <f t="array" ref="AD86">AD78/IF(CzyKredyt="Tak",WydanaGotówka2,WydanaGotówka1)</f>
        <v>3.1923603446435753</v>
      </c>
      <c r="AE86" s="51" cm="1">
        <f t="array" ref="AE86">AE78/IF(CzyKredyt="Tak",WydanaGotówka2,WydanaGotówka1)</f>
        <v>3.3324274923975326</v>
      </c>
      <c r="AF86" s="51" cm="1">
        <f t="array" ref="AF86">AF78/IF(CzyKredyt="Tak",WydanaGotówka2,WydanaGotówka1)</f>
        <v>3.4767364217110992</v>
      </c>
      <c r="AG86" s="51" cm="1">
        <f t="array" ref="AG86">AG78/IF(CzyKredyt="Tak",WydanaGotówka2,WydanaGotówka1)</f>
        <v>3.623725695336971</v>
      </c>
      <c r="AH86" s="51" cm="1">
        <f t="array" ref="AH86">AH78/IF(CzyKredyt="Tak",WydanaGotówka2,WydanaGotówka1)</f>
        <v>5.0040604384844123</v>
      </c>
      <c r="AI86" s="51" cm="1">
        <f t="array" ref="AI86">AI78/IF(CzyKredyt="Tak",WydanaGotówka2,WydanaGotówka1)</f>
        <v>5.2694790528234465</v>
      </c>
      <c r="AJ86" s="51" cm="1">
        <f t="array" ref="AJ86">AJ78/IF(CzyKredyt="Tak",WydanaGotówka2,WydanaGotówka1)</f>
        <v>5.422240972416569</v>
      </c>
      <c r="AK86" s="51" cm="1">
        <f t="array" ref="AK86">AK78/IF(CzyKredyt="Tak",WydanaGotówka2,WydanaGotówka1)</f>
        <v>5.5762756732150249</v>
      </c>
      <c r="AL86" s="51" cm="1">
        <f t="array" ref="AL86">AL78/IF(CzyKredyt="Tak",WydanaGotówka2,WydanaGotówka1)</f>
        <v>5.7349314150374333</v>
      </c>
      <c r="AM86" s="51" cm="1">
        <f t="array" ref="AM86">AM78/IF(CzyKredyt="Tak",WydanaGotówka2,WydanaGotówka1)</f>
        <v>5.898346829114514</v>
      </c>
      <c r="AN86" s="51" cm="1">
        <f t="array" ref="AN86">AN78/IF(CzyKredyt="Tak",WydanaGotówka2,WydanaGotówka1)</f>
        <v>6.0666647056139098</v>
      </c>
      <c r="AO86" s="51" cm="1">
        <f t="array" ref="AO86">AO78/IF(CzyKredyt="Tak",WydanaGotówka2,WydanaGotówka1)</f>
        <v>6.2400321184082843</v>
      </c>
      <c r="AP86" s="51" cm="1">
        <f t="array" ref="AP86">AP78/IF(CzyKredyt="Tak",WydanaGotówka2,WydanaGotówka1)</f>
        <v>6.4186005535864918</v>
      </c>
      <c r="AQ86" s="51" cm="1">
        <f t="array" ref="AQ86">AQ78/IF(CzyKredyt="Tak",WydanaGotówka2,WydanaGotówka1)</f>
        <v>6.6025260418200453</v>
      </c>
      <c r="AR86" s="51" cm="1">
        <f t="array" ref="AR86">AR78/IF(CzyKredyt="Tak",WydanaGotówka2,WydanaGotówka1)</f>
        <v>6.7919692947006052</v>
      </c>
      <c r="AS86" s="51" cm="1">
        <f t="array" ref="AS86">AS78/IF(CzyKredyt="Tak",WydanaGotówka2,WydanaGotówka1)</f>
        <v>6.9870958451675813</v>
      </c>
      <c r="AT86" s="51" cm="1">
        <f t="array" ref="AT86">AT78/IF(CzyKredyt="Tak",WydanaGotówka2,WydanaGotówka1)</f>
        <v>7.1880761921485679</v>
      </c>
      <c r="AU86" s="51" cm="1">
        <f t="array" ref="AU86">AU78/IF(CzyKredyt="Tak",WydanaGotówka2,WydanaGotówka1)</f>
        <v>7.3950859495389825</v>
      </c>
      <c r="AV86" s="51" cm="1">
        <f t="array" ref="AV86">AV78/IF(CzyKredyt="Tak",WydanaGotówka2,WydanaGotówka1)</f>
        <v>7.6083059996511118</v>
      </c>
      <c r="AW86" s="51" cm="1">
        <f t="array" ref="AW86">AW78/IF(CzyKredyt="Tak",WydanaGotówka2,WydanaGotówka1)</f>
        <v>7.8279226512666016</v>
      </c>
      <c r="AX86" s="51" cm="1">
        <f t="array" ref="AX86">AX78/IF(CzyKredyt="Tak",WydanaGotówka2,WydanaGotówka1)</f>
        <v>8.0541278024305569</v>
      </c>
      <c r="AY86" s="51" cm="1">
        <f t="array" ref="AY86">AY78/IF(CzyKredyt="Tak",WydanaGotówka2,WydanaGotówka1)</f>
        <v>8.2871191081294331</v>
      </c>
      <c r="AZ86" s="51" cm="1">
        <f t="array" ref="AZ86">AZ78/IF(CzyKredyt="Tak",WydanaGotówka2,WydanaGotówka1)</f>
        <v>8.5271001529992745</v>
      </c>
      <c r="BA86" s="51" cm="1">
        <f t="array" ref="BA86">BA78/IF(CzyKredyt="Tak",WydanaGotówka2,WydanaGotówka1)</f>
        <v>8.7742806292152125</v>
      </c>
    </row>
    <row r="87" spans="1:54">
      <c r="B87" s="50" t="s">
        <v>239</v>
      </c>
      <c r="D87" s="51" cm="1">
        <f t="array" ref="D87">D78/IF(CzyKredyt="Tak",SumaKosztówPoczątkowychInwestycji,SumaKosztów)</f>
        <v>2.5836592116272913E-2</v>
      </c>
      <c r="E87" s="51" cm="1">
        <f t="array" ref="E87">E78/IF(CzyKredyt="Tak",SumaKosztówPoczątkowychInwestycji,SumaKosztów)</f>
        <v>3.1062790197839803E-2</v>
      </c>
      <c r="F87" s="51" cm="1">
        <f t="array" ref="F87">F78/IF(CzyKredyt="Tak",SumaKosztówPoczątkowychInwestycji,SumaKosztów)</f>
        <v>3.3778950109338145E-2</v>
      </c>
      <c r="G87" s="51" cm="1">
        <f t="array" ref="G87">G78/IF(CzyKredyt="Tak",SumaKosztówPoczątkowychInwestycji,SumaKosztów)</f>
        <v>3.6577193411789478E-2</v>
      </c>
      <c r="H87" s="51" cm="1">
        <f t="array" ref="H87">H78/IF(CzyKredyt="Tak",SumaKosztówPoczątkowychInwestycji,SumaKosztów)</f>
        <v>3.9460006994549546E-2</v>
      </c>
      <c r="I87" s="51" cm="1">
        <f t="array" ref="I87">I78/IF(CzyKredyt="Tak",SumaKosztówPoczątkowychInwestycji,SumaKosztów)</f>
        <v>4.242995334724433E-2</v>
      </c>
      <c r="J87" s="51" cm="1">
        <f t="array" ref="J87">J78/IF(CzyKredyt="Tak",SumaKosztówPoczątkowychInwestycji,SumaKosztów)</f>
        <v>4.5489672868258578E-2</v>
      </c>
      <c r="K87" s="51" cm="1">
        <f t="array" ref="K87">K78/IF(CzyKredyt="Tak",SumaKosztówPoczątkowychInwestycji,SumaKosztów)</f>
        <v>4.8641886244128074E-2</v>
      </c>
      <c r="L87" s="51" cm="1">
        <f t="array" ref="L87">L78/IF(CzyKredyt="Tak",SumaKosztówPoczątkowychInwestycji,SumaKosztów)</f>
        <v>5.1889396902030191E-2</v>
      </c>
      <c r="M87" s="51" cm="1">
        <f t="array" ref="M87">M78/IF(CzyKredyt="Tak",SumaKosztówPoczątkowychInwestycji,SumaKosztów)</f>
        <v>5.5235093537635685E-2</v>
      </c>
      <c r="N87" s="51" cm="1">
        <f t="array" ref="N87">N78/IF(CzyKredyt="Tak",SumaKosztówPoczątkowychInwestycji,SumaKosztów)</f>
        <v>5.8681952720654781E-2</v>
      </c>
      <c r="O87" s="51" cm="1">
        <f t="array" ref="O87">O78/IF(CzyKredyt="Tak",SumaKosztówPoczątkowychInwestycji,SumaKosztów)</f>
        <v>6.2233041580484982E-2</v>
      </c>
      <c r="P87" s="51" cm="1">
        <f t="array" ref="P87">P78/IF(CzyKredyt="Tak",SumaKosztówPoczątkowychInwestycji,SumaKosztów)</f>
        <v>6.5891520574441545E-2</v>
      </c>
      <c r="Q87" s="51" cm="1">
        <f t="array" ref="Q87">Q78/IF(CzyKredyt="Tak",SumaKosztówPoczątkowychInwestycji,SumaKosztów)</f>
        <v>6.9660646341131158E-2</v>
      </c>
      <c r="R87" s="51" cm="1">
        <f t="array" ref="R87">R78/IF(CzyKredyt="Tak",SumaKosztówPoczątkowychInwestycji,SumaKosztów)</f>
        <v>7.3543774641607454E-2</v>
      </c>
      <c r="S87" s="51" cm="1">
        <f t="array" ref="S87">S78/IF(CzyKredyt="Tak",SumaKosztówPoczątkowychInwestycji,SumaKosztów)</f>
        <v>7.7544363391031393E-2</v>
      </c>
      <c r="T87" s="51" cm="1">
        <f t="array" ref="T87">T78/IF(CzyKredyt="Tak",SumaKosztówPoczątkowychInwestycji,SumaKosztów)</f>
        <v>8.1665975783644207E-2</v>
      </c>
      <c r="U87" s="51" cm="1">
        <f t="array" ref="U87">U78/IF(CzyKredyt="Tak",SumaKosztówPoczątkowychInwestycji,SumaKosztów)</f>
        <v>8.5912283513947571E-2</v>
      </c>
      <c r="V87" s="51" cm="1">
        <f t="array" ref="V87">V78/IF(CzyKredyt="Tak",SumaKosztówPoczątkowychInwestycji,SumaKosztów)</f>
        <v>9.0287070097078856E-2</v>
      </c>
      <c r="W87" s="51" cm="1">
        <f t="array" ref="W87">W78/IF(CzyKredyt="Tak",SumaKosztówPoczątkowychInwestycji,SumaKosztów)</f>
        <v>9.4794234291460361E-2</v>
      </c>
      <c r="X87" s="51" cm="1">
        <f t="array" ref="X87">X78/IF(CzyKredyt="Tak",SumaKosztówPoczątkowychInwestycji,SumaKosztów)</f>
        <v>9.9437793626899709E-2</v>
      </c>
      <c r="Y87" s="51" cm="1">
        <f t="array" ref="Y87">Y78/IF(CzyKredyt="Tak",SumaKosztówPoczątkowychInwestycji,SumaKosztów)</f>
        <v>0.10422188804141795</v>
      </c>
      <c r="Z87" s="51" cm="1">
        <f t="array" ref="Z87">Z78/IF(CzyKredyt="Tak",SumaKosztówPoczątkowychInwestycji,SumaKosztów)</f>
        <v>0.10915078363018442</v>
      </c>
      <c r="AA87" s="51" cm="1">
        <f t="array" ref="AA87">AA78/IF(CzyKredyt="Tak",SumaKosztówPoczątkowychInwestycji,SumaKosztów)</f>
        <v>0.1142288765100445</v>
      </c>
      <c r="AB87" s="51" cm="1">
        <f t="array" ref="AB87">AB78/IF(CzyKredyt="Tak",SumaKosztówPoczątkowychInwestycji,SumaKosztów)</f>
        <v>0.11946069680323433</v>
      </c>
      <c r="AC87" s="51" cm="1">
        <f t="array" ref="AC87">AC78/IF(CzyKredyt="Tak",SumaKosztówPoczątkowychInwestycji,SumaKosztów)</f>
        <v>0.12485091274399134</v>
      </c>
      <c r="AD87" s="51" cm="1">
        <f t="array" ref="AD87">AD78/IF(CzyKredyt="Tak",SumaKosztówPoczątkowychInwestycji,SumaKosztów)</f>
        <v>0.13040433491188555</v>
      </c>
      <c r="AE87" s="51" cm="1">
        <f t="array" ref="AE87">AE78/IF(CzyKredyt="Tak",SumaKosztówPoczątkowychInwestycji,SumaKosztów)</f>
        <v>0.13612592059581588</v>
      </c>
      <c r="AF87" s="51" cm="1">
        <f t="array" ref="AF87">AF78/IF(CzyKredyt="Tak",SumaKosztówPoczątkowychInwestycji,SumaKosztów)</f>
        <v>0.1420207782927414</v>
      </c>
      <c r="AG87" s="51" cm="1">
        <f t="array" ref="AG87">AG78/IF(CzyKredyt="Tak",SumaKosztówPoczątkowychInwestycji,SumaKosztów)</f>
        <v>0.14802512504467522</v>
      </c>
      <c r="AH87" s="51" cm="1">
        <f t="array" ref="AH87">AH78/IF(CzyKredyt="Tak",SumaKosztówPoczątkowychInwestycji,SumaKosztów)</f>
        <v>0.20441024912314371</v>
      </c>
      <c r="AI87" s="51" cm="1">
        <f t="array" ref="AI87">AI78/IF(CzyKredyt="Tak",SumaKosztówPoczątkowychInwestycji,SumaKosztów)</f>
        <v>0.21525230144163923</v>
      </c>
      <c r="AJ87" s="51" cm="1">
        <f t="array" ref="AJ87">AJ78/IF(CzyKredyt="Tak",SumaKosztówPoczątkowychInwestycji,SumaKosztów)</f>
        <v>0.22149245429838957</v>
      </c>
      <c r="AK87" s="51" cm="1">
        <f t="array" ref="AK87">AK78/IF(CzyKredyt="Tak",SumaKosztówPoczątkowychInwestycji,SumaKosztów)</f>
        <v>0.22778459883798619</v>
      </c>
      <c r="AL87" s="51" cm="1">
        <f t="array" ref="AL87">AL78/IF(CzyKredyt="Tak",SumaKosztówPoczątkowychInwestycji,SumaKosztów)</f>
        <v>0.23426550771377069</v>
      </c>
      <c r="AM87" s="51" cm="1">
        <f t="array" ref="AM87">AM78/IF(CzyKredyt="Tak",SumaKosztówPoczątkowychInwestycji,SumaKosztów)</f>
        <v>0.24094084385582873</v>
      </c>
      <c r="AN87" s="51" cm="1">
        <f t="array" ref="AN87">AN78/IF(CzyKredyt="Tak",SumaKosztówPoczątkowychInwestycji,SumaKosztów)</f>
        <v>0.24781644008214859</v>
      </c>
      <c r="AO87" s="51" cm="1">
        <f t="array" ref="AO87">AO78/IF(CzyKredyt="Tak",SumaKosztówPoczątkowychInwestycji,SumaKosztów)</f>
        <v>0.25489830419525794</v>
      </c>
      <c r="AP87" s="51" cm="1">
        <f t="array" ref="AP87">AP78/IF(CzyKredyt="Tak",SumaKosztówPoczątkowychInwestycji,SumaKosztów)</f>
        <v>0.26219262423176065</v>
      </c>
      <c r="AQ87" s="51" cm="1">
        <f t="array" ref="AQ87">AQ78/IF(CzyKredyt="Tak",SumaKosztówPoczątkowychInwestycji,SumaKosztów)</f>
        <v>0.26970577386935846</v>
      </c>
      <c r="AR87" s="51" cm="1">
        <f t="array" ref="AR87">AR78/IF(CzyKredyt="Tak",SumaKosztówPoczątkowychInwestycji,SumaKosztów)</f>
        <v>0.2774443179960841</v>
      </c>
      <c r="AS87" s="51" cm="1">
        <f t="array" ref="AS87">AS78/IF(CzyKredyt="Tak",SumaKosztówPoczątkowychInwestycji,SumaKosztów)</f>
        <v>0.28541501844661155</v>
      </c>
      <c r="AT87" s="51" cm="1">
        <f t="array" ref="AT87">AT78/IF(CzyKredyt="Tak",SumaKosztówPoczątkowychInwestycji,SumaKosztów)</f>
        <v>0.29362483991065486</v>
      </c>
      <c r="AU87" s="51" cm="1">
        <f t="array" ref="AU87">AU78/IF(CzyKredyt="Tak",SumaKosztówPoczątkowychInwestycji,SumaKosztów)</f>
        <v>0.30208095601861945</v>
      </c>
      <c r="AV87" s="51" cm="1">
        <f t="array" ref="AV87">AV78/IF(CzyKredyt="Tak",SumaKosztówPoczątkowychInwestycji,SumaKosztów)</f>
        <v>0.310790755609823</v>
      </c>
      <c r="AW87" s="51" cm="1">
        <f t="array" ref="AW87">AW78/IF(CzyKredyt="Tak",SumaKosztówPoczątkowychInwestycji,SumaKosztów)</f>
        <v>0.31976184918876255</v>
      </c>
      <c r="AX87" s="51" cm="1">
        <f t="array" ref="AX87">AX78/IF(CzyKredyt="Tak",SumaKosztówPoczątkowychInwestycji,SumaKosztów)</f>
        <v>0.32900207557507033</v>
      </c>
      <c r="AY87" s="51" cm="1">
        <f t="array" ref="AY87">AY78/IF(CzyKredyt="Tak",SumaKosztówPoczątkowychInwestycji,SumaKosztów)</f>
        <v>0.33851950875296744</v>
      </c>
      <c r="AZ87" s="51" cm="1">
        <f t="array" ref="AZ87">AZ78/IF(CzyKredyt="Tak",SumaKosztówPoczątkowychInwestycji,SumaKosztów)</f>
        <v>0.34832246492620139</v>
      </c>
      <c r="BA87" s="51" cm="1">
        <f t="array" ref="BA87">BA78/IF(CzyKredyt="Tak",SumaKosztówPoczątkowychInwestycji,SumaKosztów)</f>
        <v>0.35841950978463238</v>
      </c>
    </row>
    <row r="88" spans="1:54">
      <c r="B88" s="50" t="s">
        <v>240</v>
      </c>
      <c r="D88" s="64" cm="1">
        <f t="array" ref="D88">-IF(CzyKredyt="Tak",WydanaGotówka2,WydanaGotówka1)+D79</f>
        <v>-5108.6941915335337</v>
      </c>
      <c r="E88" s="64" cm="1">
        <f t="array" ref="E88">-IF(CzyKredyt="Tak",WydanaGotówka2,WydanaGotówka1)+E79</f>
        <v>5462.001579930431</v>
      </c>
      <c r="F88" s="64" cm="1">
        <f t="array" ref="F88">-IF(CzyKredyt="Tak",WydanaGotówka2,WydanaGotówka1)+F79</f>
        <v>16957.009040982804</v>
      </c>
      <c r="G88" s="64" cm="1">
        <f t="array" ref="G88">-IF(CzyKredyt="Tak",WydanaGotówka2,WydanaGotówka1)+G79</f>
        <v>29404.261244260771</v>
      </c>
      <c r="H88" s="64" cm="1">
        <f t="array" ref="H88">-IF(CzyKredyt="Tak",WydanaGotówka2,WydanaGotówka1)+H79</f>
        <v>42832.537533112351</v>
      </c>
      <c r="I88" s="64" cm="1">
        <f t="array" ref="I88">-IF(CzyKredyt="Tak",WydanaGotówka2,WydanaGotówka1)+I79</f>
        <v>57271.489268437144</v>
      </c>
      <c r="J88" s="64" cm="1">
        <f t="array" ref="J88">-IF(CzyKredyt="Tak",WydanaGotówka2,WydanaGotówka1)+J79</f>
        <v>72751.666341107848</v>
      </c>
      <c r="K88" s="64" cm="1">
        <f t="array" ref="K88">-IF(CzyKredyt="Tak",WydanaGotówka2,WydanaGotówka1)+K79</f>
        <v>89304.544494101108</v>
      </c>
      <c r="L88" s="64" cm="1">
        <f t="array" ref="L88">-IF(CzyKredyt="Tak",WydanaGotówka2,WydanaGotówka1)+L79</f>
        <v>106962.55347921317</v>
      </c>
      <c r="M88" s="64" cm="1">
        <f t="array" ref="M88">-IF(CzyKredyt="Tak",WydanaGotówka2,WydanaGotówka1)+M79</f>
        <v>125759.10607400571</v>
      </c>
      <c r="N88" s="64" cm="1">
        <f t="array" ref="N88">-IF(CzyKredyt="Tak",WydanaGotówka2,WydanaGotówka1)+N79</f>
        <v>145728.62798542151</v>
      </c>
      <c r="O88" s="64" cm="1">
        <f t="array" ref="O88">-IF(CzyKredyt="Tak",WydanaGotówka2,WydanaGotówka1)+O79</f>
        <v>166906.58866732838</v>
      </c>
      <c r="P88" s="64" cm="1">
        <f t="array" ref="P88">-IF(CzyKredyt="Tak",WydanaGotówka2,WydanaGotówka1)+P79</f>
        <v>189329.53308009455</v>
      </c>
      <c r="Q88" s="64" cm="1">
        <f t="array" ref="Q88">-IF(CzyKredyt="Tak",WydanaGotówka2,WydanaGotówka1)+Q79</f>
        <v>213035.11442116965</v>
      </c>
      <c r="R88" s="64" cm="1">
        <f t="array" ref="R88">-IF(CzyKredyt="Tak",WydanaGotówka2,WydanaGotówka1)+R79</f>
        <v>238062.12785654358</v>
      </c>
      <c r="S88" s="64" cm="1">
        <f t="array" ref="S88">-IF(CzyKredyt="Tak",WydanaGotówka2,WydanaGotówka1)+S79</f>
        <v>264450.54528388224</v>
      </c>
      <c r="T88" s="64" cm="1">
        <f t="array" ref="T88">-IF(CzyKredyt="Tak",WydanaGotówka2,WydanaGotówka1)+T79</f>
        <v>292241.55115909432</v>
      </c>
      <c r="U88" s="64" cm="1">
        <f t="array" ref="U88">-IF(CzyKredyt="Tak",WydanaGotówka2,WydanaGotówka1)+U79</f>
        <v>321477.5794190687</v>
      </c>
      <c r="V88" s="64" cm="1">
        <f t="array" ref="V88">-IF(CzyKredyt="Tak",WydanaGotówka2,WydanaGotówka1)+V79</f>
        <v>352202.35153433844</v>
      </c>
      <c r="W88" s="64" cm="1">
        <f t="array" ref="W88">-IF(CzyKredyt="Tak",WydanaGotówka2,WydanaGotówka1)+W79</f>
        <v>384460.91572647559</v>
      </c>
      <c r="X88" s="64" cm="1">
        <f t="array" ref="X88">-IF(CzyKredyt="Tak",WydanaGotówka2,WydanaGotówka1)+X79</f>
        <v>418299.68738610175</v>
      </c>
      <c r="Y88" s="64" cm="1">
        <f t="array" ref="Y88">-IF(CzyKredyt="Tak",WydanaGotówka2,WydanaGotówka1)+Y79</f>
        <v>453766.49072851439</v>
      </c>
      <c r="Z88" s="64" cm="1">
        <f t="array" ref="Z88">-IF(CzyKredyt="Tak",WydanaGotówka2,WydanaGotówka1)+Z79</f>
        <v>490910.60172507924</v>
      </c>
      <c r="AA88" s="64" cm="1">
        <f t="array" ref="AA88">-IF(CzyKredyt="Tak",WydanaGotówka2,WydanaGotówka1)+AA79</f>
        <v>529782.79234972503</v>
      </c>
      <c r="AB88" s="64" cm="1">
        <f t="array" ref="AB88">-IF(CzyKredyt="Tak",WydanaGotówka2,WydanaGotówka1)+AB79</f>
        <v>570435.3761810998</v>
      </c>
      <c r="AC88" s="64" cm="1">
        <f t="array" ref="AC88">-IF(CzyKredyt="Tak",WydanaGotówka2,WydanaGotówka1)+AC79</f>
        <v>612922.25540221063</v>
      </c>
      <c r="AD88" s="64" cm="1">
        <f t="array" ref="AD88">-IF(CzyKredyt="Tak",WydanaGotówka2,WydanaGotówka1)+AD79</f>
        <v>657298.96924067009</v>
      </c>
      <c r="AE88" s="64" cm="1">
        <f t="array" ref="AE88">-IF(CzyKredyt="Tak",WydanaGotówka2,WydanaGotówka1)+AE79</f>
        <v>703622.74389401393</v>
      </c>
      <c r="AF88" s="64" cm="1">
        <f t="array" ref="AF88">-IF(CzyKredyt="Tak",WydanaGotówka2,WydanaGotówka1)+AF79</f>
        <v>751952.54398594203</v>
      </c>
      <c r="AG88" s="64" cm="1">
        <f t="array" ref="AG88">-IF(CzyKredyt="Tak",WydanaGotówka2,WydanaGotówka1)+AG79</f>
        <v>802325.62874150882</v>
      </c>
      <c r="AH88" s="64" cm="1">
        <f t="array" ref="AH88">-IF(CzyKredyt="Tak",WydanaGotówka2,WydanaGotówka1)+AH79</f>
        <v>871886.62253144139</v>
      </c>
      <c r="AI88" s="64" cm="1">
        <f t="array" ref="AI88">-IF(CzyKredyt="Tak",WydanaGotówka2,WydanaGotówka1)+AI79</f>
        <v>945137.17659162555</v>
      </c>
      <c r="AJ88" s="64" cm="1">
        <f t="array" ref="AJ88">-IF(CzyKredyt="Tak",WydanaGotówka2,WydanaGotówka1)+AJ79</f>
        <v>1020511.2603475009</v>
      </c>
      <c r="AK88" s="64" cm="1">
        <f t="array" ref="AK88">-IF(CzyKredyt="Tak",WydanaGotówka2,WydanaGotówka1)+AK79</f>
        <v>1098026.5666160528</v>
      </c>
      <c r="AL88" s="64" cm="1">
        <f t="array" ref="AL88">-IF(CzyKredyt="Tak",WydanaGotówka2,WydanaGotówka1)+AL79</f>
        <v>1177747.3320726608</v>
      </c>
      <c r="AM88" s="64" cm="1">
        <f t="array" ref="AM88">-IF(CzyKredyt="Tak",WydanaGotówka2,WydanaGotówka1)+AM79</f>
        <v>1259739.7204929674</v>
      </c>
      <c r="AN88" s="64" cm="1">
        <f t="array" ref="AN88">-IF(CzyKredyt="Tak",WydanaGotówka2,WydanaGotówka1)+AN79</f>
        <v>1344071.8805658831</v>
      </c>
      <c r="AO88" s="64" cm="1">
        <f t="array" ref="AO88">-IF(CzyKredyt="Tak",WydanaGotówka2,WydanaGotówka1)+AO79</f>
        <v>1430814.0054409862</v>
      </c>
      <c r="AP88" s="64" cm="1">
        <f t="array" ref="AP88">-IF(CzyKredyt="Tak",WydanaGotówka2,WydanaGotówka1)+AP79</f>
        <v>1520038.3940623421</v>
      </c>
      <c r="AQ88" s="64" cm="1">
        <f t="array" ref="AQ88">-IF(CzyKredyt="Tak",WydanaGotówka2,WydanaGotówka1)+AQ79</f>
        <v>1611819.5143423392</v>
      </c>
      <c r="AR88" s="64" cm="1">
        <f t="array" ref="AR88">-IF(CzyKredyt="Tak",WydanaGotówka2,WydanaGotówka1)+AR79</f>
        <v>1706234.0682307361</v>
      </c>
      <c r="AS88" s="64" cm="1">
        <f t="array" ref="AS88">-IF(CzyKredyt="Tak",WydanaGotówka2,WydanaGotówka1)+AS79</f>
        <v>1803361.0587357846</v>
      </c>
      <c r="AT88" s="64" cm="1">
        <f t="array" ref="AT88">-IF(CzyKredyt="Tak",WydanaGotówka2,WydanaGotówka1)+AT79</f>
        <v>1903281.8589559849</v>
      </c>
      <c r="AU88" s="64" cm="1">
        <f t="array" ref="AU88">-IF(CzyKredyt="Tak",WydanaGotówka2,WydanaGotówka1)+AU79</f>
        <v>2006080.283182791</v>
      </c>
      <c r="AV88" s="64" cm="1">
        <f t="array" ref="AV88">-IF(CzyKredyt="Tak",WydanaGotówka2,WydanaGotówka1)+AV79</f>
        <v>2111842.6601364012</v>
      </c>
      <c r="AW88" s="64" cm="1">
        <f t="array" ref="AW88">-IF(CzyKredyt="Tak",WydanaGotówka2,WydanaGotówka1)+AW79</f>
        <v>2220657.9083986199</v>
      </c>
      <c r="AX88" s="64" cm="1">
        <f t="array" ref="AX88">-IF(CzyKredyt="Tak",WydanaGotówka2,WydanaGotówka1)+AX79</f>
        <v>2332617.614108705</v>
      </c>
      <c r="AY88" s="64" cm="1">
        <f t="array" ref="AY88">-IF(CzyKredyt="Tak",WydanaGotówka2,WydanaGotówka1)+AY79</f>
        <v>2447816.1109900926</v>
      </c>
      <c r="AZ88" s="64" cm="1">
        <f t="array" ref="AZ88">-IF(CzyKredyt="Tak",WydanaGotówka2,WydanaGotówka1)+AZ79</f>
        <v>2566350.562777922</v>
      </c>
      <c r="BA88" s="64" cm="1">
        <f t="array" ref="BA88">-IF(CzyKredyt="Tak",WydanaGotówka2,WydanaGotówka1)+BA79</f>
        <v>2688321.0481193862</v>
      </c>
    </row>
    <row r="91" spans="1:54">
      <c r="D91" s="96"/>
      <c r="E91" s="96"/>
      <c r="F91" s="96"/>
      <c r="G91" s="96"/>
      <c r="H91" s="96"/>
      <c r="I91" s="96"/>
    </row>
    <row r="92" spans="1:54">
      <c r="D92" s="110"/>
    </row>
    <row r="93" spans="1:54">
      <c r="D93" s="113"/>
    </row>
    <row r="95" spans="1:54">
      <c r="F95" s="111"/>
      <c r="S95" s="96"/>
    </row>
    <row r="100" spans="5:5">
      <c r="E100" s="111"/>
    </row>
    <row r="101" spans="5:5">
      <c r="E101" s="111"/>
    </row>
  </sheetData>
  <mergeCells count="61">
    <mergeCell ref="B40:B42"/>
    <mergeCell ref="D40:D42"/>
    <mergeCell ref="E40:H42"/>
    <mergeCell ref="Q4:T4"/>
    <mergeCell ref="K4:M4"/>
    <mergeCell ref="N4:P4"/>
    <mergeCell ref="K5:M7"/>
    <mergeCell ref="N5:P7"/>
    <mergeCell ref="Q5:T7"/>
    <mergeCell ref="K8:M8"/>
    <mergeCell ref="N8:P8"/>
    <mergeCell ref="Q8:T8"/>
    <mergeCell ref="E32:H32"/>
    <mergeCell ref="E34:H34"/>
    <mergeCell ref="E28:H29"/>
    <mergeCell ref="L29:N30"/>
    <mergeCell ref="K19:M22"/>
    <mergeCell ref="N19:P22"/>
    <mergeCell ref="Q15:T16"/>
    <mergeCell ref="Q13:T14"/>
    <mergeCell ref="Q17:T18"/>
    <mergeCell ref="Q19:T22"/>
    <mergeCell ref="K13:M14"/>
    <mergeCell ref="N13:P14"/>
    <mergeCell ref="K17:M18"/>
    <mergeCell ref="N17:P18"/>
    <mergeCell ref="E22:H22"/>
    <mergeCell ref="E23:H23"/>
    <mergeCell ref="E4:H4"/>
    <mergeCell ref="E30:H30"/>
    <mergeCell ref="E17:H17"/>
    <mergeCell ref="E18:H18"/>
    <mergeCell ref="B24:B25"/>
    <mergeCell ref="D24:D25"/>
    <mergeCell ref="E24:H25"/>
    <mergeCell ref="E26:H26"/>
    <mergeCell ref="L24:Q28"/>
    <mergeCell ref="B28:B29"/>
    <mergeCell ref="D28:D29"/>
    <mergeCell ref="O29:Q30"/>
    <mergeCell ref="E27:H27"/>
    <mergeCell ref="B8:B9"/>
    <mergeCell ref="D8:D9"/>
    <mergeCell ref="B10:B11"/>
    <mergeCell ref="D10:D11"/>
    <mergeCell ref="E8:H9"/>
    <mergeCell ref="E10:H11"/>
    <mergeCell ref="B12:B13"/>
    <mergeCell ref="D12:D13"/>
    <mergeCell ref="B14:B16"/>
    <mergeCell ref="D14:D16"/>
    <mergeCell ref="E12:H13"/>
    <mergeCell ref="E14:H16"/>
    <mergeCell ref="Q9:T10"/>
    <mergeCell ref="K11:M12"/>
    <mergeCell ref="N11:P12"/>
    <mergeCell ref="Q11:T12"/>
    <mergeCell ref="N15:P16"/>
    <mergeCell ref="K15:M16"/>
    <mergeCell ref="K9:M10"/>
    <mergeCell ref="N9:P10"/>
  </mergeCells>
  <conditionalFormatting sqref="B17:H17">
    <cfRule type="expression" dxfId="75" priority="13">
      <formula>$D$14="stała kwota"</formula>
    </cfRule>
  </conditionalFormatting>
  <conditionalFormatting sqref="B17:H18">
    <cfRule type="expression" dxfId="74" priority="15">
      <formula>$D$14="bez zmian"</formula>
    </cfRule>
    <cfRule type="expression" dxfId="73" priority="17">
      <formula>$D$14="inflacyjnie"</formula>
    </cfRule>
  </conditionalFormatting>
  <conditionalFormatting sqref="B18:H18">
    <cfRule type="expression" dxfId="72" priority="14">
      <formula>$D$14="stały %"</formula>
    </cfRule>
  </conditionalFormatting>
  <conditionalFormatting sqref="B43:H43">
    <cfRule type="expression" dxfId="71" priority="12">
      <formula>$D$40="stała kwota"</formula>
    </cfRule>
  </conditionalFormatting>
  <conditionalFormatting sqref="B43:H44">
    <cfRule type="expression" dxfId="70" priority="10">
      <formula>$D$40="inflacyjnie"</formula>
    </cfRule>
    <cfRule type="expression" dxfId="69" priority="11">
      <formula>$D$40="bez zmian"</formula>
    </cfRule>
  </conditionalFormatting>
  <conditionalFormatting sqref="B44:H44">
    <cfRule type="expression" dxfId="68" priority="9">
      <formula>$D$40="stały %"</formula>
    </cfRule>
  </conditionalFormatting>
  <conditionalFormatting sqref="D51:BA51">
    <cfRule type="expression" dxfId="67" priority="53">
      <formula>$D$14="inflacyjnie"</formula>
    </cfRule>
    <cfRule type="expression" dxfId="66" priority="54">
      <formula>$D$14&lt;&gt;"inflacyjnie"</formula>
    </cfRule>
  </conditionalFormatting>
  <conditionalFormatting sqref="D52:BA52">
    <cfRule type="expression" dxfId="65" priority="49">
      <formula>$D$14="stały %"</formula>
    </cfRule>
    <cfRule type="expression" dxfId="64" priority="50">
      <formula>$D$14&lt;&gt;"stały %"</formula>
    </cfRule>
  </conditionalFormatting>
  <conditionalFormatting sqref="D53:BA53">
    <cfRule type="expression" dxfId="63" priority="51">
      <formula>$D$14="stała kwota"</formula>
    </cfRule>
    <cfRule type="expression" dxfId="62" priority="52">
      <formula>$D$14&lt;&gt;"stała kwota"</formula>
    </cfRule>
  </conditionalFormatting>
  <conditionalFormatting sqref="D82:BA82">
    <cfRule type="expression" dxfId="61" priority="2">
      <formula>$D$40="stały %"</formula>
    </cfRule>
  </conditionalFormatting>
  <conditionalFormatting sqref="D82:BA83">
    <cfRule type="expression" dxfId="60" priority="3">
      <formula>$D$40="stała kwota"</formula>
    </cfRule>
  </conditionalFormatting>
  <conditionalFormatting sqref="D82:BA84">
    <cfRule type="expression" dxfId="59" priority="5">
      <formula>$D$40="bez zmian"</formula>
    </cfRule>
  </conditionalFormatting>
  <conditionalFormatting sqref="D83:BA84">
    <cfRule type="expression" dxfId="58" priority="4">
      <formula>$D$40="inflacyjnie"</formula>
    </cfRule>
  </conditionalFormatting>
  <conditionalFormatting sqref="D84:BA84">
    <cfRule type="expression" dxfId="57" priority="1">
      <formula>$D$40="stały %"</formula>
    </cfRule>
  </conditionalFormatting>
  <dataValidations count="2">
    <dataValidation type="list" allowBlank="1" showInputMessage="1" showErrorMessage="1" sqref="D14:D16 D40" xr:uid="{C2788D49-C2D3-456D-9F0F-55E45319ED9D}">
      <formula1>"bez zmian, inflacyjnie, stały %, stała kwota"</formula1>
    </dataValidation>
    <dataValidation type="list" allowBlank="1" showInputMessage="1" showErrorMessage="1" sqref="D34" xr:uid="{9BC442AD-9B57-47D4-9861-30ADADCE5059}">
      <formula1>"Tak, Nie"</formula1>
    </dataValidation>
  </dataValidations>
  <pageMargins left="0.7" right="0.7" top="0.75" bottom="0.75" header="0.3" footer="0.3"/>
  <pageSetup paperSize="9" orientation="portrait" horizontalDpi="360" verticalDpi="36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487F5-173A-4F21-8659-A6D28229BCD6}">
  <dimension ref="B2:AK153"/>
  <sheetViews>
    <sheetView zoomScale="115" zoomScaleNormal="115" workbookViewId="0">
      <selection activeCell="C12" sqref="C12:C13"/>
    </sheetView>
  </sheetViews>
  <sheetFormatPr defaultColWidth="8.85546875" defaultRowHeight="10.15"/>
  <cols>
    <col min="1" max="1" width="3.28515625" style="124" customWidth="1"/>
    <col min="2" max="2" width="55.140625" style="124" bestFit="1" customWidth="1"/>
    <col min="3" max="3" width="17.140625" style="124" customWidth="1"/>
    <col min="4" max="4" width="23.140625" style="124" customWidth="1"/>
    <col min="5" max="5" width="22.140625" style="124" customWidth="1"/>
    <col min="6" max="6" width="25.28515625" style="124" customWidth="1"/>
    <col min="7" max="7" width="18.42578125" style="124" customWidth="1"/>
    <col min="8" max="8" width="21.42578125" style="124" customWidth="1"/>
    <col min="9" max="9" width="19.5703125" style="124" customWidth="1"/>
    <col min="10" max="10" width="10.28515625" style="124" customWidth="1"/>
    <col min="11" max="11" width="19.7109375" style="124" customWidth="1"/>
    <col min="12" max="12" width="14.28515625" style="124" customWidth="1"/>
    <col min="13" max="13" width="17.140625" style="124" customWidth="1"/>
    <col min="14" max="14" width="17.28515625" style="124" customWidth="1"/>
    <col min="15" max="15" width="15.5703125" style="124" customWidth="1"/>
    <col min="16" max="16" width="38.140625" style="124" customWidth="1"/>
    <col min="17" max="17" width="17.42578125" style="124" customWidth="1"/>
    <col min="18" max="18" width="16.85546875" style="124" customWidth="1"/>
    <col min="19" max="19" width="11.42578125" style="124" customWidth="1"/>
    <col min="20" max="20" width="15.140625" style="124" customWidth="1"/>
    <col min="21" max="21" width="16" style="124" customWidth="1"/>
    <col min="22" max="22" width="14" style="124" customWidth="1"/>
    <col min="23" max="23" width="11.28515625" style="124" customWidth="1"/>
    <col min="24" max="24" width="12.7109375" style="124" customWidth="1"/>
    <col min="25" max="25" width="18.7109375" style="124" customWidth="1"/>
    <col min="26" max="27" width="22.140625" style="124" customWidth="1"/>
    <col min="28" max="28" width="16.28515625" style="124" customWidth="1"/>
    <col min="29" max="29" width="31.5703125" style="124" customWidth="1"/>
    <col min="30" max="30" width="9.7109375" style="124" customWidth="1"/>
    <col min="31" max="31" width="20.28515625" style="124" customWidth="1"/>
    <col min="32" max="32" width="23.28515625" style="124" customWidth="1"/>
    <col min="33" max="33" width="23.7109375" style="124" customWidth="1"/>
    <col min="34" max="34" width="33.42578125" style="124" customWidth="1"/>
    <col min="35" max="35" width="13.7109375" style="124" customWidth="1"/>
    <col min="36" max="36" width="13.28515625" style="124" customWidth="1"/>
    <col min="37" max="37" width="16.140625" style="124" customWidth="1"/>
    <col min="38" max="16384" width="8.85546875" style="124"/>
  </cols>
  <sheetData>
    <row r="2" spans="2:16" ht="14.45" customHeight="1" thickBot="1">
      <c r="B2" s="123" t="s">
        <v>90</v>
      </c>
      <c r="I2" s="123" t="s">
        <v>241</v>
      </c>
      <c r="J2" s="123"/>
      <c r="K2" s="123"/>
      <c r="M2" s="198"/>
    </row>
    <row r="3" spans="2:16" ht="11.45" thickTop="1" thickBot="1"/>
    <row r="4" spans="2:16" ht="15.6" customHeight="1" thickBot="1">
      <c r="B4" s="125" t="s">
        <v>92</v>
      </c>
      <c r="C4" s="126">
        <v>1</v>
      </c>
      <c r="D4" s="298" t="s">
        <v>242</v>
      </c>
      <c r="E4" s="298"/>
      <c r="F4" s="298"/>
      <c r="G4" s="298"/>
      <c r="I4" s="183"/>
      <c r="J4" s="184"/>
      <c r="K4" s="184"/>
      <c r="L4" s="185" t="s">
        <v>94</v>
      </c>
      <c r="M4" s="186" cm="1">
        <f t="array" aca="1" ref="M4" ca="1">IF(HoryzontInw&gt;=1,SUM(OFFSET(AB54,0,0,HoryzontInwestycyjny,1)),"")+WynikNaSprzedażyNieruchomości</f>
        <v>74239.645808466477</v>
      </c>
      <c r="N4" s="201" t="s">
        <v>95</v>
      </c>
      <c r="O4" s="139"/>
      <c r="P4" s="139"/>
    </row>
    <row r="5" spans="2:16" ht="15.6">
      <c r="B5" s="127"/>
      <c r="C5" s="128"/>
      <c r="I5" s="187"/>
      <c r="L5" s="200"/>
      <c r="M5" s="188"/>
      <c r="N5" s="201"/>
      <c r="O5" s="139"/>
      <c r="P5" s="139"/>
    </row>
    <row r="6" spans="2:16" ht="16.149999999999999" customHeight="1" thickBot="1">
      <c r="B6" s="129" t="s">
        <v>98</v>
      </c>
      <c r="I6" s="187"/>
      <c r="L6" s="189" t="s">
        <v>96</v>
      </c>
      <c r="M6" s="190">
        <f ca="1">IRR(OFFSET(AH53, 0, 0, HoryzontInwestycyjny+1,1))</f>
        <v>0.21815882246235119</v>
      </c>
      <c r="N6" s="289" t="s">
        <v>243</v>
      </c>
      <c r="O6" s="290"/>
      <c r="P6" s="290"/>
    </row>
    <row r="7" spans="2:16" ht="10.9" customHeight="1" thickBot="1">
      <c r="B7" s="127"/>
      <c r="I7" s="187"/>
      <c r="M7" s="196"/>
      <c r="N7" s="289"/>
      <c r="O7" s="290"/>
      <c r="P7" s="290"/>
    </row>
    <row r="8" spans="2:16" ht="13.9" customHeight="1">
      <c r="B8" s="317" t="s">
        <v>99</v>
      </c>
      <c r="C8" s="318">
        <v>0.02</v>
      </c>
      <c r="D8" s="298" t="s">
        <v>100</v>
      </c>
      <c r="E8" s="298"/>
      <c r="F8" s="298"/>
      <c r="G8" s="298"/>
      <c r="I8" s="187"/>
      <c r="L8" s="189" t="s">
        <v>101</v>
      </c>
      <c r="M8" s="191" cm="1">
        <f t="array" aca="1" ref="M8" ca="1">IF(HoryzontInw&gt;=1, SUM(OFFSET(AB54, 0, 0, HoryzontInwestycyjny, 1)), "")</f>
        <v>6540.5558084664954</v>
      </c>
      <c r="N8" s="124" t="s">
        <v>102</v>
      </c>
    </row>
    <row r="9" spans="2:16">
      <c r="B9" s="310"/>
      <c r="C9" s="319"/>
      <c r="D9" s="298"/>
      <c r="E9" s="298"/>
      <c r="F9" s="298"/>
      <c r="G9" s="298"/>
      <c r="I9" s="187"/>
      <c r="L9" s="200"/>
      <c r="M9" s="196"/>
    </row>
    <row r="10" spans="2:16" ht="15.6">
      <c r="B10" s="310" t="s">
        <v>105</v>
      </c>
      <c r="C10" s="320">
        <v>11.8</v>
      </c>
      <c r="D10" s="298" t="s">
        <v>106</v>
      </c>
      <c r="E10" s="298"/>
      <c r="F10" s="298"/>
      <c r="G10" s="298"/>
      <c r="I10" s="187"/>
      <c r="L10" s="189" t="s">
        <v>103</v>
      </c>
      <c r="M10" s="192">
        <f>AJ54</f>
        <v>1.9219918655129353E-2</v>
      </c>
      <c r="N10" s="291" t="s">
        <v>244</v>
      </c>
      <c r="O10" s="292"/>
      <c r="P10" s="292"/>
    </row>
    <row r="11" spans="2:16">
      <c r="B11" s="310"/>
      <c r="C11" s="320"/>
      <c r="D11" s="298"/>
      <c r="E11" s="298"/>
      <c r="F11" s="298"/>
      <c r="G11" s="298"/>
      <c r="I11" s="187"/>
      <c r="M11" s="196"/>
      <c r="N11" s="291"/>
      <c r="O11" s="292"/>
      <c r="P11" s="292"/>
    </row>
    <row r="12" spans="2:16" ht="15.6">
      <c r="B12" s="322" t="s">
        <v>109</v>
      </c>
      <c r="C12" s="321">
        <v>2500</v>
      </c>
      <c r="D12" s="298" t="s">
        <v>110</v>
      </c>
      <c r="E12" s="298"/>
      <c r="F12" s="298"/>
      <c r="G12" s="298"/>
      <c r="I12" s="187"/>
      <c r="L12" s="189" t="s">
        <v>107</v>
      </c>
      <c r="M12" s="192">
        <f>AI54</f>
        <v>0.47051277998825114</v>
      </c>
      <c r="N12" s="124" t="s">
        <v>108</v>
      </c>
    </row>
    <row r="13" spans="2:16">
      <c r="B13" s="310"/>
      <c r="C13" s="321"/>
      <c r="D13" s="298"/>
      <c r="E13" s="298"/>
      <c r="F13" s="298"/>
      <c r="G13" s="298"/>
      <c r="I13" s="187"/>
      <c r="M13" s="196"/>
    </row>
    <row r="14" spans="2:16" ht="15.6">
      <c r="B14" s="323" t="s">
        <v>112</v>
      </c>
      <c r="C14" s="300" t="s">
        <v>113</v>
      </c>
      <c r="D14" s="305" t="s">
        <v>114</v>
      </c>
      <c r="E14" s="305"/>
      <c r="F14" s="305"/>
      <c r="G14" s="305"/>
      <c r="I14" s="187"/>
      <c r="L14" s="189" t="s">
        <v>123</v>
      </c>
      <c r="M14" s="188">
        <f>_xlfn.MINIFS(Tabela3[Rok],Tabela3[Payback period],"&gt;=0")</f>
        <v>2</v>
      </c>
      <c r="N14" s="124" t="s">
        <v>124</v>
      </c>
    </row>
    <row r="15" spans="2:16">
      <c r="B15" s="323"/>
      <c r="C15" s="300"/>
      <c r="D15" s="305"/>
      <c r="E15" s="305"/>
      <c r="F15" s="305"/>
      <c r="G15" s="305"/>
      <c r="I15" s="187"/>
      <c r="M15" s="196"/>
    </row>
    <row r="16" spans="2:16" ht="15.6">
      <c r="B16" s="323"/>
      <c r="C16" s="300"/>
      <c r="D16" s="325"/>
      <c r="E16" s="325"/>
      <c r="F16" s="325"/>
      <c r="G16" s="325"/>
      <c r="I16" s="187"/>
      <c r="L16" s="189" t="s">
        <v>111</v>
      </c>
      <c r="M16" s="193" cm="1">
        <f t="array" ref="M16">INDEX(Tabela3[Wartość nieruchomości],HoryzontInwestycyjny+1,1)</f>
        <v>408000</v>
      </c>
    </row>
    <row r="17" spans="2:14">
      <c r="B17" s="130" t="s">
        <v>117</v>
      </c>
      <c r="C17" s="131">
        <v>0.04</v>
      </c>
      <c r="D17" s="298" t="s">
        <v>118</v>
      </c>
      <c r="E17" s="298"/>
      <c r="F17" s="298"/>
      <c r="G17" s="298"/>
      <c r="I17" s="187"/>
      <c r="L17" s="200"/>
      <c r="M17" s="196"/>
    </row>
    <row r="18" spans="2:14" ht="16.149999999999999" thickBot="1">
      <c r="B18" s="132" t="s">
        <v>121</v>
      </c>
      <c r="C18" s="133">
        <v>150</v>
      </c>
      <c r="D18" s="324" t="s">
        <v>122</v>
      </c>
      <c r="E18" s="324"/>
      <c r="F18" s="324"/>
      <c r="G18" s="324"/>
      <c r="I18" s="187"/>
      <c r="L18" s="189" t="s">
        <v>115</v>
      </c>
      <c r="M18" s="193">
        <f>M16-WartośćM</f>
        <v>0</v>
      </c>
      <c r="N18" s="124" t="s">
        <v>116</v>
      </c>
    </row>
    <row r="19" spans="2:14">
      <c r="E19" s="134"/>
      <c r="F19" s="134"/>
      <c r="G19" s="134"/>
      <c r="I19" s="187"/>
      <c r="M19" s="196"/>
    </row>
    <row r="20" spans="2:14" ht="16.149999999999999" thickBot="1">
      <c r="B20" s="129" t="s">
        <v>125</v>
      </c>
      <c r="E20" s="134"/>
      <c r="F20" s="134"/>
      <c r="G20" s="134"/>
      <c r="I20" s="187"/>
      <c r="L20" s="189" t="s">
        <v>119</v>
      </c>
      <c r="M20" s="191" cm="1">
        <f t="array" ref="M20">IF(CzyKredyt="NIE",INDEX(Tabela3[Wartość nieruchomości],HoryzontInwestycyjny+1,1)-SumaK,INDEX(Tabela3[Wartość nieruchomości],HoryzontInwestycyjny+1,1)-SumaK-KosztyKredytu)</f>
        <v>67699.089999999982</v>
      </c>
      <c r="N20" s="124" t="s">
        <v>120</v>
      </c>
    </row>
    <row r="21" spans="2:14" ht="10.9" thickBot="1">
      <c r="E21" s="134"/>
      <c r="F21" s="134"/>
      <c r="G21" s="134"/>
      <c r="I21" s="194"/>
      <c r="J21" s="195"/>
      <c r="K21" s="195"/>
      <c r="L21" s="195"/>
      <c r="M21" s="197"/>
    </row>
    <row r="22" spans="2:14">
      <c r="B22" s="135" t="s">
        <v>126</v>
      </c>
      <c r="C22" s="136">
        <v>10</v>
      </c>
      <c r="D22" s="298" t="s">
        <v>127</v>
      </c>
      <c r="E22" s="298"/>
      <c r="F22" s="298"/>
      <c r="G22" s="298"/>
    </row>
    <row r="23" spans="2:14" ht="10.9" thickBot="1">
      <c r="B23" s="208" t="s">
        <v>128</v>
      </c>
      <c r="C23" s="210">
        <v>1</v>
      </c>
      <c r="D23" s="298" t="s">
        <v>129</v>
      </c>
      <c r="E23" s="298"/>
      <c r="F23" s="298"/>
      <c r="G23" s="298"/>
    </row>
    <row r="24" spans="2:14" ht="10.15" customHeight="1">
      <c r="B24" s="310" t="s">
        <v>130</v>
      </c>
      <c r="C24" s="321">
        <v>5000</v>
      </c>
      <c r="D24" s="298" t="s">
        <v>131</v>
      </c>
      <c r="E24" s="298"/>
      <c r="F24" s="298"/>
      <c r="G24" s="298"/>
      <c r="I24" s="235" t="s">
        <v>132</v>
      </c>
      <c r="J24" s="236"/>
      <c r="K24" s="236"/>
      <c r="L24" s="236"/>
      <c r="M24" s="236"/>
      <c r="N24" s="237"/>
    </row>
    <row r="25" spans="2:14" ht="10.9" customHeight="1" thickBot="1">
      <c r="B25" s="310"/>
      <c r="C25" s="321"/>
      <c r="D25" s="298"/>
      <c r="E25" s="298"/>
      <c r="F25" s="298"/>
      <c r="G25" s="298"/>
      <c r="I25" s="238"/>
      <c r="J25" s="239"/>
      <c r="K25" s="239"/>
      <c r="L25" s="239"/>
      <c r="M25" s="239"/>
      <c r="N25" s="240"/>
    </row>
    <row r="26" spans="2:14" ht="10.15" customHeight="1">
      <c r="B26" s="209" t="s">
        <v>133</v>
      </c>
      <c r="C26" s="137">
        <v>20</v>
      </c>
      <c r="D26" s="292" t="s">
        <v>134</v>
      </c>
      <c r="E26" s="292"/>
      <c r="F26" s="292"/>
      <c r="G26" s="292"/>
      <c r="I26" s="238"/>
      <c r="J26" s="239"/>
      <c r="K26" s="239"/>
      <c r="L26" s="239"/>
      <c r="M26" s="239"/>
      <c r="N26" s="240"/>
    </row>
    <row r="27" spans="2:14" ht="10.15" customHeight="1">
      <c r="B27" s="208" t="s">
        <v>135</v>
      </c>
      <c r="C27" s="138">
        <v>1</v>
      </c>
      <c r="D27" s="314" t="s">
        <v>136</v>
      </c>
      <c r="E27" s="298"/>
      <c r="F27" s="298"/>
      <c r="G27" s="298"/>
      <c r="I27" s="238"/>
      <c r="J27" s="239"/>
      <c r="K27" s="239"/>
      <c r="L27" s="239"/>
      <c r="M27" s="239"/>
      <c r="N27" s="240"/>
    </row>
    <row r="28" spans="2:14" ht="10.15" customHeight="1">
      <c r="B28" s="310" t="s">
        <v>137</v>
      </c>
      <c r="C28" s="312">
        <v>15000</v>
      </c>
      <c r="D28" s="314" t="s">
        <v>138</v>
      </c>
      <c r="E28" s="298"/>
      <c r="F28" s="298"/>
      <c r="G28" s="298"/>
      <c r="I28" s="238"/>
      <c r="J28" s="239"/>
      <c r="K28" s="239"/>
      <c r="L28" s="239"/>
      <c r="M28" s="239"/>
      <c r="N28" s="240"/>
    </row>
    <row r="29" spans="2:14" ht="10.9" thickBot="1">
      <c r="B29" s="311"/>
      <c r="C29" s="313"/>
      <c r="D29" s="315"/>
      <c r="E29" s="316"/>
      <c r="F29" s="316"/>
      <c r="G29" s="316"/>
      <c r="I29" s="238"/>
      <c r="J29" s="239"/>
      <c r="K29" s="239"/>
      <c r="L29" s="239"/>
      <c r="M29" s="239"/>
      <c r="N29" s="240"/>
    </row>
    <row r="30" spans="2:14">
      <c r="B30" s="130" t="s">
        <v>141</v>
      </c>
      <c r="C30" s="148">
        <v>300</v>
      </c>
      <c r="D30" s="298" t="s">
        <v>142</v>
      </c>
      <c r="E30" s="298"/>
      <c r="F30" s="298"/>
      <c r="G30" s="298"/>
      <c r="I30" s="238"/>
      <c r="J30" s="239"/>
      <c r="K30" s="239"/>
      <c r="L30" s="239"/>
      <c r="M30" s="239"/>
      <c r="N30" s="240"/>
    </row>
    <row r="31" spans="2:14">
      <c r="B31" s="130" t="s">
        <v>143</v>
      </c>
      <c r="C31" s="149">
        <v>200</v>
      </c>
      <c r="D31" s="139"/>
      <c r="E31" s="140"/>
      <c r="F31" s="140"/>
      <c r="G31" s="140"/>
      <c r="I31" s="238"/>
      <c r="J31" s="239"/>
      <c r="K31" s="239"/>
      <c r="L31" s="239"/>
      <c r="M31" s="239"/>
      <c r="N31" s="240"/>
    </row>
    <row r="32" spans="2:14" ht="10.15" customHeight="1">
      <c r="B32" s="130" t="s">
        <v>144</v>
      </c>
      <c r="C32" s="148">
        <v>150</v>
      </c>
      <c r="D32" s="298" t="s">
        <v>145</v>
      </c>
      <c r="E32" s="298"/>
      <c r="F32" s="298"/>
      <c r="G32" s="298"/>
      <c r="I32" s="285" t="s">
        <v>139</v>
      </c>
      <c r="J32" s="286"/>
      <c r="K32" s="286"/>
      <c r="L32" s="244" t="s">
        <v>140</v>
      </c>
      <c r="M32" s="244"/>
      <c r="N32" s="245"/>
    </row>
    <row r="33" spans="2:33" ht="10.9" customHeight="1" thickBot="1">
      <c r="B33" s="141" t="s">
        <v>146</v>
      </c>
      <c r="C33" s="142">
        <v>0</v>
      </c>
      <c r="D33" s="139"/>
      <c r="E33" s="143"/>
      <c r="F33" s="143"/>
      <c r="G33" s="143"/>
      <c r="I33" s="285"/>
      <c r="J33" s="286"/>
      <c r="K33" s="286"/>
      <c r="L33" s="244"/>
      <c r="M33" s="244"/>
      <c r="N33" s="245"/>
    </row>
    <row r="34" spans="2:33" ht="14.45" customHeight="1">
      <c r="B34" s="144" t="s">
        <v>147</v>
      </c>
      <c r="C34" s="144" t="s">
        <v>46</v>
      </c>
      <c r="D34" s="297" t="s">
        <v>148</v>
      </c>
      <c r="E34" s="297"/>
      <c r="F34" s="297"/>
      <c r="G34" s="297"/>
      <c r="I34" s="285"/>
      <c r="J34" s="286"/>
      <c r="K34" s="286"/>
      <c r="L34" s="244"/>
      <c r="M34" s="244"/>
      <c r="N34" s="245"/>
    </row>
    <row r="35" spans="2:33" ht="14.45" customHeight="1" thickBot="1">
      <c r="B35" s="124" t="s">
        <v>149</v>
      </c>
      <c r="C35" s="145">
        <v>8.5000000000000006E-2</v>
      </c>
      <c r="E35" s="146"/>
      <c r="F35" s="146"/>
      <c r="G35" s="146"/>
      <c r="I35" s="287"/>
      <c r="J35" s="288"/>
      <c r="K35" s="288"/>
      <c r="L35" s="246"/>
      <c r="M35" s="246"/>
      <c r="N35" s="247"/>
    </row>
    <row r="36" spans="2:33">
      <c r="B36" s="124" t="s">
        <v>150</v>
      </c>
      <c r="C36" s="145">
        <v>0.125</v>
      </c>
      <c r="E36" s="146"/>
      <c r="F36" s="146"/>
      <c r="G36" s="146"/>
      <c r="Q36" s="154"/>
    </row>
    <row r="38" spans="2:33" ht="10.9" thickBot="1">
      <c r="B38" s="129" t="s">
        <v>115</v>
      </c>
    </row>
    <row r="39" spans="2:33">
      <c r="B39" s="147"/>
    </row>
    <row r="40" spans="2:33">
      <c r="B40" s="299" t="s">
        <v>151</v>
      </c>
      <c r="C40" s="300" t="s">
        <v>113</v>
      </c>
      <c r="D40" s="301" t="s">
        <v>152</v>
      </c>
      <c r="E40" s="302"/>
      <c r="F40" s="302"/>
      <c r="G40" s="303"/>
      <c r="L40" s="154"/>
    </row>
    <row r="41" spans="2:33">
      <c r="B41" s="299"/>
      <c r="C41" s="300"/>
      <c r="D41" s="304"/>
      <c r="E41" s="305"/>
      <c r="F41" s="305"/>
      <c r="G41" s="306"/>
      <c r="K41" s="153"/>
      <c r="L41" s="154"/>
    </row>
    <row r="42" spans="2:33">
      <c r="B42" s="299"/>
      <c r="C42" s="300"/>
      <c r="D42" s="307"/>
      <c r="E42" s="308"/>
      <c r="F42" s="308"/>
      <c r="G42" s="309"/>
      <c r="I42" s="154"/>
    </row>
    <row r="43" spans="2:33">
      <c r="B43" s="124" t="s">
        <v>153</v>
      </c>
      <c r="C43" s="145">
        <v>0.01</v>
      </c>
      <c r="D43" s="124" t="s">
        <v>154</v>
      </c>
    </row>
    <row r="44" spans="2:33">
      <c r="B44" s="124" t="s">
        <v>155</v>
      </c>
      <c r="C44" s="169">
        <v>50000</v>
      </c>
      <c r="D44" s="124" t="s">
        <v>156</v>
      </c>
    </row>
    <row r="45" spans="2:33">
      <c r="U45" s="173"/>
      <c r="AG45" s="145"/>
    </row>
    <row r="48" spans="2:33">
      <c r="N48" s="153"/>
    </row>
    <row r="49" spans="2:37">
      <c r="H49" s="154"/>
    </row>
    <row r="50" spans="2:37" ht="10.9" thickBot="1">
      <c r="B50" s="129" t="s">
        <v>157</v>
      </c>
      <c r="G50" s="124" t="s">
        <v>245</v>
      </c>
    </row>
    <row r="51" spans="2:37">
      <c r="D51" s="293" t="s">
        <v>246</v>
      </c>
      <c r="E51" s="293"/>
      <c r="F51" s="293"/>
      <c r="G51" s="293"/>
      <c r="H51" s="293"/>
      <c r="I51" s="293"/>
      <c r="J51" s="295" t="s">
        <v>247</v>
      </c>
      <c r="K51" s="295"/>
      <c r="L51" s="295"/>
      <c r="M51" s="295"/>
      <c r="N51" s="295"/>
      <c r="O51" s="295"/>
      <c r="P51" s="295"/>
      <c r="Q51" s="295"/>
      <c r="R51" s="295"/>
      <c r="S51" s="295"/>
      <c r="T51" s="295"/>
      <c r="U51" s="295"/>
      <c r="V51" s="295"/>
      <c r="W51" s="295"/>
      <c r="X51" s="295"/>
      <c r="Y51" s="295"/>
      <c r="Z51" s="295"/>
      <c r="AA51" s="211"/>
      <c r="AB51" s="296" t="s">
        <v>248</v>
      </c>
      <c r="AC51" s="296"/>
      <c r="AD51" s="294" t="s">
        <v>233</v>
      </c>
      <c r="AE51" s="294"/>
      <c r="AF51" s="294"/>
      <c r="AG51" s="294"/>
    </row>
    <row r="52" spans="2:37" ht="20.45">
      <c r="C52" s="124" t="s">
        <v>54</v>
      </c>
      <c r="D52" s="156" t="s">
        <v>210</v>
      </c>
      <c r="E52" s="156" t="s">
        <v>211</v>
      </c>
      <c r="F52" s="156" t="s">
        <v>121</v>
      </c>
      <c r="G52" s="156" t="s">
        <v>212</v>
      </c>
      <c r="H52" s="156" t="s">
        <v>213</v>
      </c>
      <c r="I52" s="157" t="s">
        <v>209</v>
      </c>
      <c r="J52" s="156" t="s">
        <v>249</v>
      </c>
      <c r="K52" s="156" t="s">
        <v>215</v>
      </c>
      <c r="L52" s="156" t="s">
        <v>216</v>
      </c>
      <c r="M52" s="156" t="s">
        <v>217</v>
      </c>
      <c r="N52" s="156" t="s">
        <v>218</v>
      </c>
      <c r="O52" s="156" t="s">
        <v>219</v>
      </c>
      <c r="P52" s="156" t="s">
        <v>220</v>
      </c>
      <c r="Q52" s="156" t="s">
        <v>221</v>
      </c>
      <c r="R52" s="156" t="s">
        <v>222</v>
      </c>
      <c r="S52" s="156" t="s">
        <v>223</v>
      </c>
      <c r="T52" s="156" t="s">
        <v>224</v>
      </c>
      <c r="U52" s="156" t="s">
        <v>225</v>
      </c>
      <c r="V52" s="156" t="s">
        <v>226</v>
      </c>
      <c r="W52" s="156" t="s">
        <v>227</v>
      </c>
      <c r="X52" s="156" t="s">
        <v>37</v>
      </c>
      <c r="Y52" s="157" t="s">
        <v>250</v>
      </c>
      <c r="Z52" s="157" t="s">
        <v>229</v>
      </c>
      <c r="AA52" s="157" t="s">
        <v>251</v>
      </c>
      <c r="AB52" s="157" t="s">
        <v>252</v>
      </c>
      <c r="AC52" s="157" t="s">
        <v>253</v>
      </c>
      <c r="AD52" s="156" t="s">
        <v>254</v>
      </c>
      <c r="AE52" s="156" t="s">
        <v>235</v>
      </c>
      <c r="AF52" s="156" t="s">
        <v>236</v>
      </c>
      <c r="AG52" s="156" t="s">
        <v>237</v>
      </c>
      <c r="AH52" s="156" t="s">
        <v>232</v>
      </c>
      <c r="AI52" s="156" t="s">
        <v>238</v>
      </c>
      <c r="AJ52" s="156" t="s">
        <v>239</v>
      </c>
      <c r="AK52" s="156" t="s">
        <v>240</v>
      </c>
    </row>
    <row r="53" spans="2:37" ht="15.6" customHeight="1">
      <c r="C53" s="158" t="s">
        <v>255</v>
      </c>
      <c r="D53" s="150"/>
      <c r="E53" s="150"/>
      <c r="F53" s="150"/>
      <c r="G53" s="150"/>
      <c r="H53" s="150"/>
      <c r="I53" s="151"/>
      <c r="J53" s="152"/>
      <c r="K53" s="174" cm="1">
        <f t="array" ref="K53">CenaM+KosztRemontu</f>
        <v>324564.05</v>
      </c>
      <c r="L53" s="174">
        <f>WydatkiPozaCenąM</f>
        <v>7821.6600000000035</v>
      </c>
      <c r="M53" s="174">
        <f>KosztyKredytu</f>
        <v>7915.2</v>
      </c>
      <c r="N53" s="159"/>
      <c r="O53" s="159"/>
      <c r="P53" s="160"/>
      <c r="Q53" s="159"/>
      <c r="R53" s="159"/>
      <c r="S53" s="159"/>
      <c r="T53" s="159" cm="1">
        <f t="array" ref="T53">IF(Tabela3[[#This Row],[Rok]]&gt;HoryzontInwestycyjny,0,IFERROR(INDEX(Kredyt!$M:$M,11+Tabela3[[#This Row],[Rok]]*12) * UbezŻyć,""))</f>
        <v>0</v>
      </c>
      <c r="U53" s="160"/>
      <c r="V53" s="159"/>
      <c r="W53" s="159"/>
      <c r="X53" s="159"/>
      <c r="Y53" s="161"/>
      <c r="Z53" s="162"/>
      <c r="AA53" s="162">
        <f>Tabela3[[#This Row],[Wydatki związane z najmem całkowite]]+Tabela3[[#This Row],[Podatek od przychodu]]</f>
        <v>0</v>
      </c>
      <c r="AB53" s="163"/>
      <c r="AC53" s="162"/>
      <c r="AD53" s="175"/>
      <c r="AE53" s="150"/>
      <c r="AF53" s="150"/>
      <c r="AG53" s="150"/>
      <c r="AH53" s="179">
        <f>-(Tabela3[[#This Row],[Cena mieszkania + remont początkowy]]+Tabela3[[#This Row],[Koszt zakupu]]+Tabela3[[#This Row],[Koszt zaciągnięcia kredytu]])</f>
        <v>-340300.91</v>
      </c>
      <c r="AI53" s="155"/>
      <c r="AJ53" s="155"/>
      <c r="AK53" s="155"/>
    </row>
    <row r="54" spans="2:37">
      <c r="C54" s="158">
        <v>1</v>
      </c>
      <c r="D54" s="152">
        <f t="shared" ref="D54:D85" si="0">IF(ZmianaOdstępnego="Inflacyjnie",Inflacja,0)</f>
        <v>0.02</v>
      </c>
      <c r="E54" s="152">
        <f t="shared" ref="E54:E85" si="1">ProcentZmianyOdstępnego</f>
        <v>0.04</v>
      </c>
      <c r="F54" s="164">
        <v>0</v>
      </c>
      <c r="G54" s="151">
        <f>Odstępne</f>
        <v>2500</v>
      </c>
      <c r="H54" s="165">
        <f>IF(Tabela3[[#This Row],[Rok]]&gt;HoryzontInwestycyjny,0,MAX(0, MiesiąceNajmu - MAX(0, MAX(IFERROR(IF(MOD($C54, MałyRemont) = 0,Czas_MałyRemont, 0),0),IFERROR(IF(MOD($C54,DużyRemont) = 0,Czas_DużyRemont, 0),0)) - (12 -MiesiąceNajmu))))</f>
        <v>11.8</v>
      </c>
      <c r="I54" s="166">
        <f>G54*H54</f>
        <v>29500</v>
      </c>
      <c r="J54" s="152">
        <f>IF(Tabela3[[#This Row],[Rok]]&gt;HoryzontInwestycyjny,"",IF(ZmianaKosztów="TAK",Inflacja,0))</f>
        <v>0.02</v>
      </c>
      <c r="K54" s="155"/>
      <c r="L54" s="155"/>
      <c r="M54" s="155"/>
      <c r="N54" s="171">
        <v>0</v>
      </c>
      <c r="O54" s="155">
        <v>0</v>
      </c>
      <c r="P54" s="155">
        <f>IF(Tabela3[[#This Row],[Rok]]&gt;HoryzontInwestycyjny,0,IF(12-Tabela3[[#This Row],[Liczba wynajętych miesięcy w roku]]&gt;0, (12-Tabela3[[#This Row],[Liczba wynajętych miesięcy w roku]]) *CzynszWspólnoty,0))</f>
        <v>59.999999999999787</v>
      </c>
      <c r="Q54" s="170">
        <f>IF(Tabela3[[#This Row],[Rok]]&gt;HoryzontInwestycyjny,0,SUMIF(Kredyt!$E:$E,Tabela3[[#This Row],[Rok]],Kredyt!$I:$I))</f>
        <v>12951.876476284799</v>
      </c>
      <c r="R54" s="171">
        <f>IF(Tabela3[[#This Row],[Rok]]&gt;HoryzontInwestycyjny,0,SUMIF(Kredyt!$E:$E,Tabela3[[#This Row],[Rok]],Kredyt!$J:$J))</f>
        <v>5720.7113670589424</v>
      </c>
      <c r="S54" s="155">
        <f>Tabela3[[#This Row],[Rata kredytu: odsetki]]+Tabela3[[#This Row],[Rata kredytu: kapitał]]</f>
        <v>18672.587843343739</v>
      </c>
      <c r="T54" s="169" cm="1">
        <f t="array" ref="T54">IF(Tabela3[[#This Row],[Rok]]&gt;HoryzontInwestycyjny,0,IFERROR(INDEX(Kredyt!$M:$M,11+Tabela3[[#This Row],[Rok]]*12) * UbezŻyć,""))</f>
        <v>953.19634818976238</v>
      </c>
      <c r="U54" s="155" cm="1">
        <f t="array" ref="U54">IF(Tabela3[[#This Row],[Rok]]&gt;HoryzontInwestycyjny,0,IF(CzasKredytu&gt;=Tabela3[[#This Row],[Rok]],IF(ZmianaKosztów="Tak",UbezMiesz* PRODUCT(1+J54:J54), UbezMiesz),""))</f>
        <v>416.16</v>
      </c>
      <c r="V54" s="155">
        <f>PodatekOdNieruchomości</f>
        <v>200</v>
      </c>
      <c r="W54" s="155">
        <f>KosztyZarządzania*Tabela3[[#This Row],[Przychody z wynajmu]]</f>
        <v>0</v>
      </c>
      <c r="X54" s="155">
        <f>InneKosztyRocznie</f>
        <v>150</v>
      </c>
      <c r="Y54" s="155">
        <f>SUM(Tabela3[[#This Row],[Cena mieszkania + remont początkowy]:[Inne koszty]])-Tabela3[[#This Row],[Rata kredytu]]</f>
        <v>20451.944191533505</v>
      </c>
      <c r="Z54" s="155">
        <f>IF(Tabela3[[#This Row],[Przychody z wynajmu]]&lt;=100000, Tabela3[[#This Row],[Przychody z wynajmu]]*MałyPodatek, 100000*MałyPodatek + (Tabela3[[#This Row],[Przychody z wynajmu]]-100000)*DużyPodatek)</f>
        <v>2507.5</v>
      </c>
      <c r="AA54" s="155">
        <f>Tabela3[[#This Row],[Wydatki związane z najmem całkowite]]+Tabela3[[#This Row],[Podatek od przychodu]]</f>
        <v>22959.444191533505</v>
      </c>
      <c r="AB54" s="155">
        <f>IF(Tabela3[[#This Row],[Rok]]&gt;HoryzontInwestycyjny,0,Tabela3[[#This Row],[Przychody z wynajmu]]-Tabela3[[#This Row],[Wydatki związane z najmem całkowite]]-Tabela3[[#This Row],[Podatek od przychodu]])</f>
        <v>6540.5558084664954</v>
      </c>
      <c r="AC54" s="155">
        <f>Tabela3[[#This Row],[Wynik z najmu netto rocznie]]</f>
        <v>6540.5558084664954</v>
      </c>
      <c r="AD54" s="176">
        <f>IF(Tabela3[[#This Row],[Rok]]&gt;HoryzontInwestycyjny,"",IF(ZmianaWartościNieruchomości="Inflacyjnie",Inflacja,0))</f>
        <v>0.02</v>
      </c>
      <c r="AE54" s="177">
        <f>IF(Tabela3[[#This Row],[Rok]]&gt;HoryzontInwestycyjny,"",StałyProcentZmianyWartościNieruchomości)</f>
        <v>0.01</v>
      </c>
      <c r="AF54" s="178">
        <f>IF(Tabela3[[#This Row],[Rok]]&gt;HoryzontInwestycyjny,"",StałaKwotaZmianyWartościNieruchomości)</f>
        <v>50000</v>
      </c>
      <c r="AG54" s="155">
        <f>IF(Tabela3[[#This Row],[Rok]]&gt;HoryzontInwestycyjny,0,WartośćM)</f>
        <v>408000</v>
      </c>
      <c r="AH54" s="155">
        <f>IF(Tabela3[[#This Row],[Rok]]&gt;HoryzontInwestycyjny,0,Tabela3[[#This Row],[Wynik z najmu netto rocznie]] + IF(Tabela3[[#This Row],[Rok]]=HoryzontInwestycyjny,Tabela3[[#This Row],[Wartość nieruchomości]], 0))</f>
        <v>414540.55580846651</v>
      </c>
      <c r="AI54" s="177" cm="1">
        <f t="array" ref="AI54">Tabela3[[#This Row],[Wynik z najmu netto rocznie]]/IF(CzyKredyt="Tak",WydanaGotówka2,WydanaGotówka1)</f>
        <v>0.47051277998825114</v>
      </c>
      <c r="AJ54" s="177" cm="1">
        <f t="array" ref="AJ54">Tabela3[[#This Row],[Wynik z najmu netto rocznie]]/IF(CzyKredyt="Tak",SumaKosztówPoczątkowychInwestycji,SumaKosztów)</f>
        <v>1.9219918655129353E-2</v>
      </c>
      <c r="AK54" s="155" cm="1">
        <f t="array" ref="AK54">IF(Tabela3[[#This Row],[Rok]]&gt;HoryzontInwestycyjny,0,-IF(CzyKredyt="Tak",WydanaGotówka2,WydanaGotówka1)+Tabela3[[#This Row],[Skumulowany wynik z najmu netto z najmu]])</f>
        <v>-7360.3541915335372</v>
      </c>
    </row>
    <row r="55" spans="2:37">
      <c r="C55" s="158">
        <v>2</v>
      </c>
      <c r="D55" s="152">
        <f t="shared" si="0"/>
        <v>0.02</v>
      </c>
      <c r="E55" s="152">
        <f t="shared" si="1"/>
        <v>0.04</v>
      </c>
      <c r="F55" s="167">
        <f t="shared" ref="F55:F86" si="2">KwotaZmianyOdstępnego</f>
        <v>150</v>
      </c>
      <c r="G55" s="151">
        <f>IF(Tabela3[[#This Row],[Rok]]&gt;HoryzontInwestycyjny,0,IF(ZmianaOdstępnego="bez zmian",G54,IF(ZmianaOdstępnego="inflacyjnie",G54*(1+Wyniki2!$D55),IF(ZmianaOdstępnego="stały %",G54*(1+Wyniki2!$E55),IF(ZmianaOdstępnego="stała kwota",G54+Wyniki2!$F55,)))))</f>
        <v>0</v>
      </c>
      <c r="H55" s="165">
        <f>IF(Tabela3[[#This Row],[Rok]]&gt;HoryzontInwestycyjny,0,MAX(0, MiesiąceNajmu - MAX(0, MAX(IFERROR(IF(MOD($C55, MałyRemont) = 0,Czas_MałyRemont, 0),0),IFERROR(IF(MOD($C55,DużyRemont) = 0,Czas_DużyRemont, 0),0)) - (12 -MiesiąceNajmu))))</f>
        <v>0</v>
      </c>
      <c r="I55" s="166">
        <f t="shared" ref="I55:I103" si="3">G55*H55</f>
        <v>0</v>
      </c>
      <c r="J55" s="152" t="str">
        <f>IF(Tabela3[[#This Row],[Rok]]&gt;HoryzontInwestycyjny,"",IF(ZmianaKosztów="TAK",Inflacja,0))</f>
        <v/>
      </c>
      <c r="K55" s="155"/>
      <c r="L55" s="155"/>
      <c r="M55" s="155"/>
      <c r="N55" s="171" cm="1">
        <f t="array" ref="N55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55" s="171" cm="1">
        <f t="array" ref="O55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55" s="155" cm="1">
        <f t="array" ref="P55">IF(Tabela3[[#This Row],[Rok]]&gt;HoryzontInwestycyjny,0,IF(12-Tabela3[[#This Row],[Liczba wynajętych miesięcy w roku]]&gt;0, (12-Tabela3[[#This Row],[Liczba wynajętych miesięcy w roku]]) *CzynszWspólnoty* IF(ZmianaKosztów="Tak", PRODUCT(1+J$54:INDEX($J$54:J55, ROWS($D$54:D55)-1)), 1), 0))</f>
        <v>0</v>
      </c>
      <c r="Q55" s="170">
        <f>IF(Tabela3[[#This Row],[Rok]]&gt;HoryzontInwestycyjny,0,SUMIF(Kredyt!$E:$E,Tabela3[[#This Row],[Rok]],Kredyt!$I:$I))</f>
        <v>0</v>
      </c>
      <c r="R55" s="171">
        <f>IF(Tabela3[[#This Row],[Rok]]&gt;HoryzontInwestycyjny,0,SUMIF(Kredyt!$E:$E,Tabela3[[#This Row],[Rok]],Kredyt!$J:$J))</f>
        <v>0</v>
      </c>
      <c r="S55" s="155">
        <f>Tabela3[[#This Row],[Rata kredytu: odsetki]]+Tabela3[[#This Row],[Rata kredytu: kapitał]]</f>
        <v>0</v>
      </c>
      <c r="T55" s="169" cm="1">
        <f t="array" ref="T55">IF(Tabela3[[#This Row],[Rok]]&gt;HoryzontInwestycyjny,0,IFERROR(INDEX(Kredyt!$M:$M,11+Tabela3[[#This Row],[Rok]]*12) * UbezŻyć,""))</f>
        <v>0</v>
      </c>
      <c r="U55" s="155" cm="1">
        <f t="array" ref="U55">IF(Tabela3[[#This Row],[Rok]]&gt;HoryzontInwestycyjny,0,IF(CzasKredytu&gt;=Tabela3[[#This Row],[Rok]],IF(ZmianaKosztów="Tak",UbezMiesz* PRODUCT(1+J55:J55), UbezMiesz),""))</f>
        <v>0</v>
      </c>
      <c r="V55" s="155" cm="1">
        <f t="array" ref="V55">IF(Tabela3[[#This Row],[Rok]]&gt;HoryzontInwestycyjny,0,IF(ZmianaKosztów="Tak", PodatekOdNieruchomości * PRODUCT(1+J$54:J54), PodNie))</f>
        <v>0</v>
      </c>
      <c r="W55" s="155">
        <f>KosztyZarządzania*Tabela3[[#This Row],[Przychody z wynajmu]]</f>
        <v>0</v>
      </c>
      <c r="X55" s="155" cm="1">
        <f t="array" ref="X55">IF(Tabela3[[#This Row],[Rok]]&gt;HoryzontInwestycyjny,0,IF(ZmianaKosztów="Tak", InneKosztyRocznie* PRODUCT(1+J$55:J55), InneKosztyRocznie))</f>
        <v>0</v>
      </c>
      <c r="Y55" s="155">
        <f>SUM(Tabela3[[#This Row],[Cena mieszkania + remont początkowy]:[Inne koszty]])-Tabela3[[#This Row],[Rata kredytu]]</f>
        <v>0</v>
      </c>
      <c r="Z55" s="155">
        <f>IF(Tabela3[[#This Row],[Przychody z wynajmu]]&lt;=100000, Tabela3[[#This Row],[Przychody z wynajmu]]*MałyPodatek, 100000*MałyPodatek + (Tabela3[[#This Row],[Przychody z wynajmu]]-100000)*DużyPodatek)</f>
        <v>0</v>
      </c>
      <c r="AA55" s="155">
        <f>Tabela3[[#This Row],[Wydatki związane z najmem całkowite]]+Tabela3[[#This Row],[Podatek od przychodu]]</f>
        <v>0</v>
      </c>
      <c r="AB55" s="155">
        <f>IF(Tabela3[[#This Row],[Rok]]&gt;HoryzontInwestycyjny,0,Tabela3[[#This Row],[Przychody z wynajmu]]-Tabela3[[#This Row],[Wydatki związane z najmem całkowite]]-Tabela3[[#This Row],[Podatek od przychodu]])</f>
        <v>0</v>
      </c>
      <c r="AC55" s="155">
        <f>IF(Tabela3[[#This Row],[Rok]]&gt;HoryzontInwestycyjny,0,AC54+Tabela3[[#This Row],[Wynik z najmu netto rocznie]])</f>
        <v>0</v>
      </c>
      <c r="AD55" s="176" t="str">
        <f>IF(Tabela3[[#This Row],[Rok]]&gt;HoryzontInwestycyjny,"",IF(ZmianaWartościNieruchomości="Inflacyjnie",Inflacja,0))</f>
        <v/>
      </c>
      <c r="AE55" s="177" t="str">
        <f>IF(Tabela3[[#This Row],[Rok]]&gt;HoryzontInwestycyjny,"",StałyProcentZmianyWartościNieruchomości)</f>
        <v/>
      </c>
      <c r="AF55" s="178" t="str">
        <f>IF(Tabela3[[#This Row],[Rok]]&gt;HoryzontInwestycyjny,"",StałaKwotaZmianyWartościNieruchomości)</f>
        <v/>
      </c>
      <c r="AG55" s="155">
        <f>IF(Tabela3[[#This Row],[Rok]]&gt;HoryzontInwestycyjny,0,IF(ZmianaWartościNieruchomości="bez zmian",AG54,IF(ZmianaWartościNieruchomości="inflacyjnie",AG54*(1+Tabela3[[#This Row],[Inflacja3]]),IF(ZmianaWartościNieruchomości="stały %",AG54*(1+Tabela3[[#This Row],[Stały % zmiany warrtości]]),IF(ZmianaWartościNieruchomości="stała kwota",AG54+AF55,AG54)))))</f>
        <v>0</v>
      </c>
      <c r="AH55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55" s="177" cm="1">
        <f t="array" ref="AI55">Tabela3[[#This Row],[Wynik z najmu netto rocznie]]/IF(CzyKredyt="Tak",WydanaGotówka2,WydanaGotówka1)</f>
        <v>0</v>
      </c>
      <c r="AJ55" s="177" cm="1">
        <f t="array" ref="AJ55">Tabela3[[#This Row],[Wynik z najmu netto rocznie]]/IF(CzyKredyt="Tak",SumaKosztówPoczątkowychInwestycji,SumaKosztów)</f>
        <v>0</v>
      </c>
      <c r="AK55" s="155" cm="1">
        <f t="array" ref="AK55">IF(Tabela3[[#This Row],[Rok]]&gt;HoryzontInwestycyjny,0,-IF(CzyKredyt="Tak",WydanaGotówka2,WydanaGotówka1)+Tabela3[[#This Row],[Skumulowany wynik z najmu netto z najmu]])</f>
        <v>0</v>
      </c>
    </row>
    <row r="56" spans="2:37">
      <c r="C56" s="158">
        <v>3</v>
      </c>
      <c r="D56" s="152">
        <f t="shared" si="0"/>
        <v>0.02</v>
      </c>
      <c r="E56" s="152">
        <f t="shared" si="1"/>
        <v>0.04</v>
      </c>
      <c r="F56" s="167">
        <f t="shared" si="2"/>
        <v>150</v>
      </c>
      <c r="G56" s="151">
        <f>IF(Tabela3[[#This Row],[Rok]]&gt;HoryzontInwestycyjny,0,IF(ZmianaOdstępnego="bez zmian",G55,IF(ZmianaOdstępnego="inflacyjnie",G55*(1+Wyniki2!$D56),IF(ZmianaOdstępnego="stały %",G55*(1+Wyniki2!$E56),IF(ZmianaOdstępnego="stała kwota",G55+Wyniki2!$F56,)))))</f>
        <v>0</v>
      </c>
      <c r="H56" s="165">
        <f>IF(Tabela3[[#This Row],[Rok]]&gt;HoryzontInwestycyjny,0,MAX(0, MiesiąceNajmu - MAX(0, MAX(IFERROR(IF(MOD($C56, MałyRemont) = 0,Czas_MałyRemont, 0),0),IFERROR(IF(MOD($C56,DużyRemont) = 0,Czas_DużyRemont, 0),0)) - (12 -MiesiąceNajmu))))</f>
        <v>0</v>
      </c>
      <c r="I56" s="166">
        <f t="shared" si="3"/>
        <v>0</v>
      </c>
      <c r="J56" s="152" t="str">
        <f>IF(Tabela3[[#This Row],[Rok]]&gt;HoryzontInwestycyjny,"",IF(ZmianaKosztów="TAK",Inflacja,0))</f>
        <v/>
      </c>
      <c r="K56" s="155"/>
      <c r="L56" s="155"/>
      <c r="M56" s="155"/>
      <c r="N56" s="171" cm="1">
        <f t="array" ref="N56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56" s="171" cm="1">
        <f t="array" ref="O56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56" s="155" cm="1">
        <f t="array" ref="P56">IF(Tabela3[[#This Row],[Rok]]&gt;HoryzontInwestycyjny,0,IF(12-Tabela3[[#This Row],[Liczba wynajętych miesięcy w roku]]&gt;0, (12-Tabela3[[#This Row],[Liczba wynajętych miesięcy w roku]]) *CzynszWspólnoty* IF(ZmianaKosztów="Tak", PRODUCT(1+J$54:INDEX($J$54:J56, ROWS($D$54:D56)-1)), 1), 0))</f>
        <v>0</v>
      </c>
      <c r="Q56" s="170">
        <f>IF(Tabela3[[#This Row],[Rok]]&gt;HoryzontInwestycyjny,0,SUMIF(Kredyt!$E:$E,Tabela3[[#This Row],[Rok]],Kredyt!$I:$I))</f>
        <v>0</v>
      </c>
      <c r="R56" s="171">
        <f>IF(Tabela3[[#This Row],[Rok]]&gt;HoryzontInwestycyjny,0,SUMIF(Kredyt!$E:$E,Tabela3[[#This Row],[Rok]],Kredyt!$J:$J))</f>
        <v>0</v>
      </c>
      <c r="S56" s="155">
        <f>Tabela3[[#This Row],[Rata kredytu: odsetki]]+Tabela3[[#This Row],[Rata kredytu: kapitał]]</f>
        <v>0</v>
      </c>
      <c r="T56" s="169" cm="1">
        <f t="array" ref="T56">IF(Tabela3[[#This Row],[Rok]]&gt;HoryzontInwestycyjny,0,IFERROR(INDEX(Kredyt!$M:$M,11+Tabela3[[#This Row],[Rok]]*12) * UbezŻyć,""))</f>
        <v>0</v>
      </c>
      <c r="U56" s="155" cm="1">
        <f t="array" ref="U56">IF(Tabela3[[#This Row],[Rok]]&gt;HoryzontInwestycyjny,0,IF(CzasKredytu&gt;=Tabela3[[#This Row],[Rok]],IF(ZmianaKosztów="Tak",UbezMiesz* PRODUCT(1+J56:J56), UbezMiesz),""))</f>
        <v>0</v>
      </c>
      <c r="V56" s="155" cm="1">
        <f t="array" ref="V56">IF(Tabela3[[#This Row],[Rok]]&gt;HoryzontInwestycyjny,0,IF(ZmianaKosztów="Tak", PodatekOdNieruchomości * PRODUCT(1+J$54:J55), PodNie))</f>
        <v>0</v>
      </c>
      <c r="W56" s="155">
        <f>KosztyZarządzania*Tabela3[[#This Row],[Przychody z wynajmu]]</f>
        <v>0</v>
      </c>
      <c r="X56" s="155" cm="1">
        <f t="array" ref="X56">IF(Tabela3[[#This Row],[Rok]]&gt;HoryzontInwestycyjny,0,IF(ZmianaKosztów="Tak", InneKosztyRocznie* PRODUCT(1+J$55:J56), InneKosztyRocznie))</f>
        <v>0</v>
      </c>
      <c r="Y56" s="155">
        <f>SUM(Tabela3[[#This Row],[Cena mieszkania + remont początkowy]:[Inne koszty]])-Tabela3[[#This Row],[Rata kredytu]]</f>
        <v>0</v>
      </c>
      <c r="Z56" s="155">
        <f>IF(Tabela3[[#This Row],[Przychody z wynajmu]]&lt;=100000, Tabela3[[#This Row],[Przychody z wynajmu]]*MałyPodatek, 100000*MałyPodatek + (Tabela3[[#This Row],[Przychody z wynajmu]]-100000)*DużyPodatek)</f>
        <v>0</v>
      </c>
      <c r="AA56" s="155">
        <f>Tabela3[[#This Row],[Wydatki związane z najmem całkowite]]+Tabela3[[#This Row],[Podatek od przychodu]]</f>
        <v>0</v>
      </c>
      <c r="AB56" s="155">
        <f>IF(Tabela3[[#This Row],[Rok]]&gt;HoryzontInwestycyjny,0,Tabela3[[#This Row],[Przychody z wynajmu]]-Tabela3[[#This Row],[Wydatki związane z najmem całkowite]]-Tabela3[[#This Row],[Podatek od przychodu]])</f>
        <v>0</v>
      </c>
      <c r="AC56" s="155">
        <f>IF(Tabela3[[#This Row],[Rok]]&gt;HoryzontInwestycyjny,0,AC55+Tabela3[[#This Row],[Wynik z najmu netto rocznie]])</f>
        <v>0</v>
      </c>
      <c r="AD56" s="176" t="str">
        <f>IF(Tabela3[[#This Row],[Rok]]&gt;HoryzontInwestycyjny,"",IF(ZmianaWartościNieruchomości="Inflacyjnie",Inflacja,0))</f>
        <v/>
      </c>
      <c r="AE56" s="177" t="str">
        <f>IF(Tabela3[[#This Row],[Rok]]&gt;HoryzontInwestycyjny,"",StałyProcentZmianyWartościNieruchomości)</f>
        <v/>
      </c>
      <c r="AF56" s="178" t="str">
        <f>IF(Tabela3[[#This Row],[Rok]]&gt;HoryzontInwestycyjny,"",StałaKwotaZmianyWartościNieruchomości)</f>
        <v/>
      </c>
      <c r="AG56" s="155">
        <f>IF(Tabela3[[#This Row],[Rok]]&gt;HoryzontInwestycyjny,0,IF(ZmianaWartościNieruchomości="bez zmian",AG55,IF(ZmianaWartościNieruchomości="inflacyjnie",AG55*(1+Tabela3[[#This Row],[Inflacja3]]),IF(ZmianaWartościNieruchomości="stały %",AG55*(1+Tabela3[[#This Row],[Stały % zmiany warrtości]]),IF(ZmianaWartościNieruchomości="stała kwota",AG55+AF56,AG55)))))</f>
        <v>0</v>
      </c>
      <c r="AH56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56" s="177" cm="1">
        <f t="array" ref="AI56">Tabela3[[#This Row],[Wynik z najmu netto rocznie]]/IF(CzyKredyt="Tak",WydanaGotówka2,WydanaGotówka1)</f>
        <v>0</v>
      </c>
      <c r="AJ56" s="177" cm="1">
        <f t="array" ref="AJ56">Tabela3[[#This Row],[Wynik z najmu netto rocznie]]/IF(CzyKredyt="Tak",SumaKosztówPoczątkowychInwestycji,SumaKosztów)</f>
        <v>0</v>
      </c>
      <c r="AK56" s="155" cm="1">
        <f t="array" ref="AK56">IF(Tabela3[[#This Row],[Rok]]&gt;HoryzontInwestycyjny,0,-IF(CzyKredyt="Tak",WydanaGotówka2,WydanaGotówka1)+Tabela3[[#This Row],[Skumulowany wynik z najmu netto z najmu]])</f>
        <v>0</v>
      </c>
    </row>
    <row r="57" spans="2:37">
      <c r="C57" s="158">
        <v>4</v>
      </c>
      <c r="D57" s="152">
        <f t="shared" si="0"/>
        <v>0.02</v>
      </c>
      <c r="E57" s="152">
        <f t="shared" si="1"/>
        <v>0.04</v>
      </c>
      <c r="F57" s="167">
        <f t="shared" si="2"/>
        <v>150</v>
      </c>
      <c r="G57" s="151">
        <f>IF(Tabela3[[#This Row],[Rok]]&gt;HoryzontInwestycyjny,0,IF(ZmianaOdstępnego="bez zmian",G56,IF(ZmianaOdstępnego="inflacyjnie",G56*(1+Wyniki2!$D57),IF(ZmianaOdstępnego="stały %",G56*(1+Wyniki2!$E57),IF(ZmianaOdstępnego="stała kwota",G56+Wyniki2!$F57,)))))</f>
        <v>0</v>
      </c>
      <c r="H57" s="165">
        <f>IF(Tabela3[[#This Row],[Rok]]&gt;HoryzontInwestycyjny,0,MAX(0, MiesiąceNajmu - MAX(0, MAX(IFERROR(IF(MOD($C57, MałyRemont) = 0,Czas_MałyRemont, 0),0),IFERROR(IF(MOD($C57,DużyRemont) = 0,Czas_DużyRemont, 0),0)) - (12 -MiesiąceNajmu))))</f>
        <v>0</v>
      </c>
      <c r="I57" s="166">
        <f t="shared" si="3"/>
        <v>0</v>
      </c>
      <c r="J57" s="152" t="str">
        <f>IF(Tabela3[[#This Row],[Rok]]&gt;HoryzontInwestycyjny,"",IF(ZmianaKosztów="TAK",Inflacja,0))</f>
        <v/>
      </c>
      <c r="K57" s="155"/>
      <c r="L57" s="155"/>
      <c r="M57" s="155"/>
      <c r="N57" s="171" cm="1">
        <f t="array" ref="N57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57" s="171" cm="1">
        <f t="array" ref="O57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57" s="155" cm="1">
        <f t="array" ref="P57">IF(Tabela3[[#This Row],[Rok]]&gt;HoryzontInwestycyjny,0,IF(12-Tabela3[[#This Row],[Liczba wynajętych miesięcy w roku]]&gt;0, (12-Tabela3[[#This Row],[Liczba wynajętych miesięcy w roku]]) *CzynszWspólnoty* IF(ZmianaKosztów="Tak", PRODUCT(1+J$54:INDEX($J$54:J57, ROWS($D$54:D57)-1)), 1), 0))</f>
        <v>0</v>
      </c>
      <c r="Q57" s="170">
        <f>IF(Tabela3[[#This Row],[Rok]]&gt;HoryzontInwestycyjny,0,SUMIF(Kredyt!$E:$E,Tabela3[[#This Row],[Rok]],Kredyt!$I:$I))</f>
        <v>0</v>
      </c>
      <c r="R57" s="171">
        <f>IF(Tabela3[[#This Row],[Rok]]&gt;HoryzontInwestycyjny,0,SUMIF(Kredyt!$E:$E,Tabela3[[#This Row],[Rok]],Kredyt!$J:$J))</f>
        <v>0</v>
      </c>
      <c r="S57" s="155">
        <f>Tabela3[[#This Row],[Rata kredytu: odsetki]]+Tabela3[[#This Row],[Rata kredytu: kapitał]]</f>
        <v>0</v>
      </c>
      <c r="T57" s="169" cm="1">
        <f t="array" ref="T57">IF(Tabela3[[#This Row],[Rok]]&gt;HoryzontInwestycyjny,0,IFERROR(INDEX(Kredyt!$M:$M,11+Tabela3[[#This Row],[Rok]]*12) * UbezŻyć,""))</f>
        <v>0</v>
      </c>
      <c r="U57" s="155" cm="1">
        <f t="array" ref="U57">IF(Tabela3[[#This Row],[Rok]]&gt;HoryzontInwestycyjny,0,IF(CzasKredytu&gt;=Tabela3[[#This Row],[Rok]],IF(ZmianaKosztów="Tak",UbezMiesz* PRODUCT(1+J57:J57), UbezMiesz),""))</f>
        <v>0</v>
      </c>
      <c r="V57" s="155" cm="1">
        <f t="array" ref="V57">IF(Tabela3[[#This Row],[Rok]]&gt;HoryzontInwestycyjny,0,IF(ZmianaKosztów="Tak", PodatekOdNieruchomości * PRODUCT(1+J$54:J56), PodNie))</f>
        <v>0</v>
      </c>
      <c r="W57" s="155">
        <f>KosztyZarządzania*Tabela3[[#This Row],[Przychody z wynajmu]]</f>
        <v>0</v>
      </c>
      <c r="X57" s="155" cm="1">
        <f t="array" ref="X57">IF(Tabela3[[#This Row],[Rok]]&gt;HoryzontInwestycyjny,0,IF(ZmianaKosztów="Tak", InneKosztyRocznie* PRODUCT(1+J$55:J57), InneKosztyRocznie))</f>
        <v>0</v>
      </c>
      <c r="Y57" s="155">
        <f>SUM(Tabela3[[#This Row],[Cena mieszkania + remont początkowy]:[Inne koszty]])-Tabela3[[#This Row],[Rata kredytu]]</f>
        <v>0</v>
      </c>
      <c r="Z57" s="155">
        <f>IF(Tabela3[[#This Row],[Przychody z wynajmu]]&lt;=100000, Tabela3[[#This Row],[Przychody z wynajmu]]*MałyPodatek, 100000*MałyPodatek + (Tabela3[[#This Row],[Przychody z wynajmu]]-100000)*DużyPodatek)</f>
        <v>0</v>
      </c>
      <c r="AA57" s="155">
        <f>Tabela3[[#This Row],[Wydatki związane z najmem całkowite]]+Tabela3[[#This Row],[Podatek od przychodu]]</f>
        <v>0</v>
      </c>
      <c r="AB57" s="155">
        <f>IF(Tabela3[[#This Row],[Rok]]&gt;HoryzontInwestycyjny,0,Tabela3[[#This Row],[Przychody z wynajmu]]-Tabela3[[#This Row],[Wydatki związane z najmem całkowite]]-Tabela3[[#This Row],[Podatek od przychodu]])</f>
        <v>0</v>
      </c>
      <c r="AC57" s="155">
        <f>IF(Tabela3[[#This Row],[Rok]]&gt;HoryzontInwestycyjny,0,AC56+Tabela3[[#This Row],[Wynik z najmu netto rocznie]])</f>
        <v>0</v>
      </c>
      <c r="AD57" s="176" t="str">
        <f>IF(Tabela3[[#This Row],[Rok]]&gt;HoryzontInwestycyjny,"",IF(ZmianaWartościNieruchomości="Inflacyjnie",Inflacja,0))</f>
        <v/>
      </c>
      <c r="AE57" s="177" t="str">
        <f>IF(Tabela3[[#This Row],[Rok]]&gt;HoryzontInwestycyjny,"",StałyProcentZmianyWartościNieruchomości)</f>
        <v/>
      </c>
      <c r="AF57" s="178" t="str">
        <f>IF(Tabela3[[#This Row],[Rok]]&gt;HoryzontInwestycyjny,"",StałaKwotaZmianyWartościNieruchomości)</f>
        <v/>
      </c>
      <c r="AG57" s="155">
        <f>IF(Tabela3[[#This Row],[Rok]]&gt;HoryzontInwestycyjny,0,IF(ZmianaWartościNieruchomości="bez zmian",AG56,IF(ZmianaWartościNieruchomości="inflacyjnie",AG56*(1+Tabela3[[#This Row],[Inflacja3]]),IF(ZmianaWartościNieruchomości="stały %",AG56*(1+Tabela3[[#This Row],[Stały % zmiany warrtości]]),IF(ZmianaWartościNieruchomości="stała kwota",AG56+AF57,AG56)))))</f>
        <v>0</v>
      </c>
      <c r="AH57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57" s="177" cm="1">
        <f t="array" ref="AI57">Tabela3[[#This Row],[Wynik z najmu netto rocznie]]/IF(CzyKredyt="Tak",WydanaGotówka2,WydanaGotówka1)</f>
        <v>0</v>
      </c>
      <c r="AJ57" s="177" cm="1">
        <f t="array" ref="AJ57">Tabela3[[#This Row],[Wynik z najmu netto rocznie]]/IF(CzyKredyt="Tak",SumaKosztówPoczątkowychInwestycji,SumaKosztów)</f>
        <v>0</v>
      </c>
      <c r="AK57" s="155" cm="1">
        <f t="array" ref="AK57">IF(Tabela3[[#This Row],[Rok]]&gt;HoryzontInwestycyjny,0,-IF(CzyKredyt="Tak",WydanaGotówka2,WydanaGotówka1)+Tabela3[[#This Row],[Skumulowany wynik z najmu netto z najmu]])</f>
        <v>0</v>
      </c>
    </row>
    <row r="58" spans="2:37">
      <c r="C58" s="158">
        <v>5</v>
      </c>
      <c r="D58" s="152">
        <f t="shared" si="0"/>
        <v>0.02</v>
      </c>
      <c r="E58" s="152">
        <f t="shared" si="1"/>
        <v>0.04</v>
      </c>
      <c r="F58" s="167">
        <f t="shared" si="2"/>
        <v>150</v>
      </c>
      <c r="G58" s="151">
        <f>IF(Tabela3[[#This Row],[Rok]]&gt;HoryzontInwestycyjny,0,IF(ZmianaOdstępnego="bez zmian",G57,IF(ZmianaOdstępnego="inflacyjnie",G57*(1+Wyniki2!$D58),IF(ZmianaOdstępnego="stały %",G57*(1+Wyniki2!$E58),IF(ZmianaOdstępnego="stała kwota",G57+Wyniki2!$F58,)))))</f>
        <v>0</v>
      </c>
      <c r="H58" s="165">
        <f>IF(Tabela3[[#This Row],[Rok]]&gt;HoryzontInwestycyjny,0,MAX(0, MiesiąceNajmu - MAX(0, MAX(IFERROR(IF(MOD($C58, MałyRemont) = 0,Czas_MałyRemont, 0),0),IFERROR(IF(MOD($C58,DużyRemont) = 0,Czas_DużyRemont, 0),0)) - (12 -MiesiąceNajmu))))</f>
        <v>0</v>
      </c>
      <c r="I58" s="166">
        <f t="shared" si="3"/>
        <v>0</v>
      </c>
      <c r="J58" s="152" t="str">
        <f>IF(Tabela3[[#This Row],[Rok]]&gt;HoryzontInwestycyjny,"",IF(ZmianaKosztów="TAK",Inflacja,0))</f>
        <v/>
      </c>
      <c r="K58" s="155"/>
      <c r="L58" s="155"/>
      <c r="M58" s="155"/>
      <c r="N58" s="171" cm="1">
        <f t="array" ref="N58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58" s="171" cm="1">
        <f t="array" ref="O58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58" s="155" cm="1">
        <f t="array" ref="P58">IF(Tabela3[[#This Row],[Rok]]&gt;HoryzontInwestycyjny,0,IF(12-Tabela3[[#This Row],[Liczba wynajętych miesięcy w roku]]&gt;0, (12-Tabela3[[#This Row],[Liczba wynajętych miesięcy w roku]]) *CzynszWspólnoty* IF(ZmianaKosztów="Tak", PRODUCT(1+J$54:INDEX($J$54:J58, ROWS($D$54:D58)-1)), 1), 0))</f>
        <v>0</v>
      </c>
      <c r="Q58" s="170">
        <f>IF(Tabela3[[#This Row],[Rok]]&gt;HoryzontInwestycyjny,0,SUMIF(Kredyt!$E:$E,Tabela3[[#This Row],[Rok]],Kredyt!$I:$I))</f>
        <v>0</v>
      </c>
      <c r="R58" s="171">
        <f>IF(Tabela3[[#This Row],[Rok]]&gt;HoryzontInwestycyjny,0,SUMIF(Kredyt!$E:$E,Tabela3[[#This Row],[Rok]],Kredyt!$J:$J))</f>
        <v>0</v>
      </c>
      <c r="S58" s="155">
        <f>Tabela3[[#This Row],[Rata kredytu: odsetki]]+Tabela3[[#This Row],[Rata kredytu: kapitał]]</f>
        <v>0</v>
      </c>
      <c r="T58" s="169" cm="1">
        <f t="array" ref="T58">IF(Tabela3[[#This Row],[Rok]]&gt;HoryzontInwestycyjny,0,IFERROR(INDEX(Kredyt!$M:$M,11+Tabela3[[#This Row],[Rok]]*12) * UbezŻyć,""))</f>
        <v>0</v>
      </c>
      <c r="U58" s="155" cm="1">
        <f t="array" ref="U58">IF(Tabela3[[#This Row],[Rok]]&gt;HoryzontInwestycyjny,0,IF(CzasKredytu&gt;=Tabela3[[#This Row],[Rok]],IF(ZmianaKosztów="Tak",UbezMiesz* PRODUCT(1+J58:J58), UbezMiesz),""))</f>
        <v>0</v>
      </c>
      <c r="V58" s="155" cm="1">
        <f t="array" ref="V58">IF(Tabela3[[#This Row],[Rok]]&gt;HoryzontInwestycyjny,0,IF(ZmianaKosztów="Tak", PodatekOdNieruchomości * PRODUCT(1+J$54:J57), PodNie))</f>
        <v>0</v>
      </c>
      <c r="W58" s="155">
        <f>KosztyZarządzania*Tabela3[[#This Row],[Przychody z wynajmu]]</f>
        <v>0</v>
      </c>
      <c r="X58" s="155" cm="1">
        <f t="array" ref="X58">IF(Tabela3[[#This Row],[Rok]]&gt;HoryzontInwestycyjny,0,IF(ZmianaKosztów="Tak", InneKosztyRocznie* PRODUCT(1+J$55:J58), InneKosztyRocznie))</f>
        <v>0</v>
      </c>
      <c r="Y58" s="155">
        <f>SUM(Tabela3[[#This Row],[Cena mieszkania + remont początkowy]:[Inne koszty]])-Tabela3[[#This Row],[Rata kredytu]]</f>
        <v>0</v>
      </c>
      <c r="Z58" s="155">
        <f>IF(Tabela3[[#This Row],[Przychody z wynajmu]]&lt;=100000, Tabela3[[#This Row],[Przychody z wynajmu]]*MałyPodatek, 100000*MałyPodatek + (Tabela3[[#This Row],[Przychody z wynajmu]]-100000)*DużyPodatek)</f>
        <v>0</v>
      </c>
      <c r="AA58" s="155">
        <f>Tabela3[[#This Row],[Wydatki związane z najmem całkowite]]+Tabela3[[#This Row],[Podatek od przychodu]]</f>
        <v>0</v>
      </c>
      <c r="AB58" s="155">
        <f>IF(Tabela3[[#This Row],[Rok]]&gt;HoryzontInwestycyjny,0,Tabela3[[#This Row],[Przychody z wynajmu]]-Tabela3[[#This Row],[Wydatki związane z najmem całkowite]]-Tabela3[[#This Row],[Podatek od przychodu]])</f>
        <v>0</v>
      </c>
      <c r="AC58" s="155">
        <f>IF(Tabela3[[#This Row],[Rok]]&gt;HoryzontInwestycyjny,0,AC57+Tabela3[[#This Row],[Wynik z najmu netto rocznie]])</f>
        <v>0</v>
      </c>
      <c r="AD58" s="176" t="str">
        <f>IF(Tabela3[[#This Row],[Rok]]&gt;HoryzontInwestycyjny,"",IF(ZmianaWartościNieruchomości="Inflacyjnie",Inflacja,0))</f>
        <v/>
      </c>
      <c r="AE58" s="177" t="str">
        <f>IF(Tabela3[[#This Row],[Rok]]&gt;HoryzontInwestycyjny,"",StałyProcentZmianyWartościNieruchomości)</f>
        <v/>
      </c>
      <c r="AF58" s="178" t="str">
        <f>IF(Tabela3[[#This Row],[Rok]]&gt;HoryzontInwestycyjny,"",StałaKwotaZmianyWartościNieruchomości)</f>
        <v/>
      </c>
      <c r="AG58" s="155">
        <f>IF(Tabela3[[#This Row],[Rok]]&gt;HoryzontInwestycyjny,0,IF(ZmianaWartościNieruchomości="bez zmian",AG57,IF(ZmianaWartościNieruchomości="inflacyjnie",AG57*(1+Tabela3[[#This Row],[Inflacja3]]),IF(ZmianaWartościNieruchomości="stały %",AG57*(1+Tabela3[[#This Row],[Stały % zmiany warrtości]]),IF(ZmianaWartościNieruchomości="stała kwota",AG57+AF58,AG57)))))</f>
        <v>0</v>
      </c>
      <c r="AH58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58" s="177" cm="1">
        <f t="array" ref="AI58">Tabela3[[#This Row],[Wynik z najmu netto rocznie]]/IF(CzyKredyt="Tak",WydanaGotówka2,WydanaGotówka1)</f>
        <v>0</v>
      </c>
      <c r="AJ58" s="177" cm="1">
        <f t="array" ref="AJ58">Tabela3[[#This Row],[Wynik z najmu netto rocznie]]/IF(CzyKredyt="Tak",SumaKosztówPoczątkowychInwestycji,SumaKosztów)</f>
        <v>0</v>
      </c>
      <c r="AK58" s="155" cm="1">
        <f t="array" ref="AK58">IF(Tabela3[[#This Row],[Rok]]&gt;HoryzontInwestycyjny,0,-IF(CzyKredyt="Tak",WydanaGotówka2,WydanaGotówka1)+Tabela3[[#This Row],[Skumulowany wynik z najmu netto z najmu]])</f>
        <v>0</v>
      </c>
    </row>
    <row r="59" spans="2:37">
      <c r="C59" s="158">
        <v>6</v>
      </c>
      <c r="D59" s="152">
        <f t="shared" si="0"/>
        <v>0.02</v>
      </c>
      <c r="E59" s="152">
        <f t="shared" si="1"/>
        <v>0.04</v>
      </c>
      <c r="F59" s="167">
        <f t="shared" si="2"/>
        <v>150</v>
      </c>
      <c r="G59" s="151">
        <f>IF(Tabela3[[#This Row],[Rok]]&gt;HoryzontInwestycyjny,0,IF(ZmianaOdstępnego="bez zmian",G58,IF(ZmianaOdstępnego="inflacyjnie",G58*(1+Wyniki2!$D59),IF(ZmianaOdstępnego="stały %",G58*(1+Wyniki2!$E59),IF(ZmianaOdstępnego="stała kwota",G58+Wyniki2!$F59,)))))</f>
        <v>0</v>
      </c>
      <c r="H59" s="165">
        <f>IF(Tabela3[[#This Row],[Rok]]&gt;HoryzontInwestycyjny,0,MAX(0, MiesiąceNajmu - MAX(0, MAX(IFERROR(IF(MOD($C59, MałyRemont) = 0,Czas_MałyRemont, 0),0),IFERROR(IF(MOD($C59,DużyRemont) = 0,Czas_DużyRemont, 0),0)) - (12 -MiesiąceNajmu))))</f>
        <v>0</v>
      </c>
      <c r="I59" s="166">
        <f t="shared" si="3"/>
        <v>0</v>
      </c>
      <c r="J59" s="152" t="str">
        <f>IF(Tabela3[[#This Row],[Rok]]&gt;HoryzontInwestycyjny,"",IF(ZmianaKosztów="TAK",Inflacja,0))</f>
        <v/>
      </c>
      <c r="K59" s="155"/>
      <c r="L59" s="155"/>
      <c r="M59" s="155"/>
      <c r="N59" s="171" cm="1">
        <f t="array" ref="N59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59" s="171" cm="1">
        <f t="array" ref="O59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59" s="155" cm="1">
        <f t="array" ref="P59">IF(Tabela3[[#This Row],[Rok]]&gt;HoryzontInwestycyjny,0,IF(12-Tabela3[[#This Row],[Liczba wynajętych miesięcy w roku]]&gt;0, (12-Tabela3[[#This Row],[Liczba wynajętych miesięcy w roku]]) *CzynszWspólnoty* IF(ZmianaKosztów="Tak", PRODUCT(1+J$54:INDEX($J$54:J59, ROWS($D$54:D59)-1)), 1), 0))</f>
        <v>0</v>
      </c>
      <c r="Q59" s="170">
        <f>IF(Tabela3[[#This Row],[Rok]]&gt;HoryzontInwestycyjny,0,SUMIF(Kredyt!$E:$E,Tabela3[[#This Row],[Rok]],Kredyt!$I:$I))</f>
        <v>0</v>
      </c>
      <c r="R59" s="171">
        <f>IF(Tabela3[[#This Row],[Rok]]&gt;HoryzontInwestycyjny,0,SUMIF(Kredyt!$E:$E,Tabela3[[#This Row],[Rok]],Kredyt!$J:$J))</f>
        <v>0</v>
      </c>
      <c r="S59" s="155">
        <f>Tabela3[[#This Row],[Rata kredytu: odsetki]]+Tabela3[[#This Row],[Rata kredytu: kapitał]]</f>
        <v>0</v>
      </c>
      <c r="T59" s="169" cm="1">
        <f t="array" ref="T59">IF(Tabela3[[#This Row],[Rok]]&gt;HoryzontInwestycyjny,0,IFERROR(INDEX(Kredyt!$M:$M,11+Tabela3[[#This Row],[Rok]]*12) * UbezŻyć,""))</f>
        <v>0</v>
      </c>
      <c r="U59" s="155" cm="1">
        <f t="array" ref="U59">IF(Tabela3[[#This Row],[Rok]]&gt;HoryzontInwestycyjny,0,IF(CzasKredytu&gt;=Tabela3[[#This Row],[Rok]],IF(ZmianaKosztów="Tak",UbezMiesz* PRODUCT(1+J59:J59), UbezMiesz),""))</f>
        <v>0</v>
      </c>
      <c r="V59" s="155" cm="1">
        <f t="array" ref="V59">IF(Tabela3[[#This Row],[Rok]]&gt;HoryzontInwestycyjny,0,IF(ZmianaKosztów="Tak", PodatekOdNieruchomości * PRODUCT(1+J$54:J58), PodNie))</f>
        <v>0</v>
      </c>
      <c r="W59" s="155">
        <f>KosztyZarządzania*Tabela3[[#This Row],[Przychody z wynajmu]]</f>
        <v>0</v>
      </c>
      <c r="X59" s="155" cm="1">
        <f t="array" ref="X59">IF(Tabela3[[#This Row],[Rok]]&gt;HoryzontInwestycyjny,0,IF(ZmianaKosztów="Tak", InneKosztyRocznie* PRODUCT(1+J$55:J59), InneKosztyRocznie))</f>
        <v>0</v>
      </c>
      <c r="Y59" s="155">
        <f>SUM(Tabela3[[#This Row],[Cena mieszkania + remont początkowy]:[Inne koszty]])-Tabela3[[#This Row],[Rata kredytu]]</f>
        <v>0</v>
      </c>
      <c r="Z59" s="155">
        <f>IF(Tabela3[[#This Row],[Przychody z wynajmu]]&lt;=100000, Tabela3[[#This Row],[Przychody z wynajmu]]*MałyPodatek, 100000*MałyPodatek + (Tabela3[[#This Row],[Przychody z wynajmu]]-100000)*DużyPodatek)</f>
        <v>0</v>
      </c>
      <c r="AA59" s="155">
        <f>Tabela3[[#This Row],[Wydatki związane z najmem całkowite]]+Tabela3[[#This Row],[Podatek od przychodu]]</f>
        <v>0</v>
      </c>
      <c r="AB59" s="155">
        <f>IF(Tabela3[[#This Row],[Rok]]&gt;HoryzontInwestycyjny,0,Tabela3[[#This Row],[Przychody z wynajmu]]-Tabela3[[#This Row],[Wydatki związane z najmem całkowite]]-Tabela3[[#This Row],[Podatek od przychodu]])</f>
        <v>0</v>
      </c>
      <c r="AC59" s="155">
        <f>IF(Tabela3[[#This Row],[Rok]]&gt;HoryzontInwestycyjny,0,AC58+Tabela3[[#This Row],[Wynik z najmu netto rocznie]])</f>
        <v>0</v>
      </c>
      <c r="AD59" s="176" t="str">
        <f>IF(Tabela3[[#This Row],[Rok]]&gt;HoryzontInwestycyjny,"",IF(ZmianaWartościNieruchomości="Inflacyjnie",Inflacja,0))</f>
        <v/>
      </c>
      <c r="AE59" s="177" t="str">
        <f>IF(Tabela3[[#This Row],[Rok]]&gt;HoryzontInwestycyjny,"",StałyProcentZmianyWartościNieruchomości)</f>
        <v/>
      </c>
      <c r="AF59" s="178" t="str">
        <f>IF(Tabela3[[#This Row],[Rok]]&gt;HoryzontInwestycyjny,"",StałaKwotaZmianyWartościNieruchomości)</f>
        <v/>
      </c>
      <c r="AG59" s="155">
        <f>IF(Tabela3[[#This Row],[Rok]]&gt;HoryzontInwestycyjny,0,IF(ZmianaWartościNieruchomości="bez zmian",AG58,IF(ZmianaWartościNieruchomości="inflacyjnie",AG58*(1+Tabela3[[#This Row],[Inflacja3]]),IF(ZmianaWartościNieruchomości="stały %",AG58*(1+Tabela3[[#This Row],[Stały % zmiany warrtości]]),IF(ZmianaWartościNieruchomości="stała kwota",AG58+AF59,AG58)))))</f>
        <v>0</v>
      </c>
      <c r="AH59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59" s="177" cm="1">
        <f t="array" ref="AI59">Tabela3[[#This Row],[Wynik z najmu netto rocznie]]/IF(CzyKredyt="Tak",WydanaGotówka2,WydanaGotówka1)</f>
        <v>0</v>
      </c>
      <c r="AJ59" s="177" cm="1">
        <f t="array" ref="AJ59">Tabela3[[#This Row],[Wynik z najmu netto rocznie]]/IF(CzyKredyt="Tak",SumaKosztówPoczątkowychInwestycji,SumaKosztów)</f>
        <v>0</v>
      </c>
      <c r="AK59" s="155" cm="1">
        <f t="array" ref="AK59">IF(Tabela3[[#This Row],[Rok]]&gt;HoryzontInwestycyjny,0,-IF(CzyKredyt="Tak",WydanaGotówka2,WydanaGotówka1)+Tabela3[[#This Row],[Skumulowany wynik z najmu netto z najmu]])</f>
        <v>0</v>
      </c>
    </row>
    <row r="60" spans="2:37">
      <c r="C60" s="158">
        <v>7</v>
      </c>
      <c r="D60" s="152">
        <f t="shared" si="0"/>
        <v>0.02</v>
      </c>
      <c r="E60" s="152">
        <f t="shared" si="1"/>
        <v>0.04</v>
      </c>
      <c r="F60" s="167">
        <f t="shared" si="2"/>
        <v>150</v>
      </c>
      <c r="G60" s="151">
        <f>IF(Tabela3[[#This Row],[Rok]]&gt;HoryzontInwestycyjny,0,IF(ZmianaOdstępnego="bez zmian",G59,IF(ZmianaOdstępnego="inflacyjnie",G59*(1+Wyniki2!$D60),IF(ZmianaOdstępnego="stały %",G59*(1+Wyniki2!$E60),IF(ZmianaOdstępnego="stała kwota",G59+Wyniki2!$F60,)))))</f>
        <v>0</v>
      </c>
      <c r="H60" s="165">
        <f>IF(Tabela3[[#This Row],[Rok]]&gt;HoryzontInwestycyjny,0,MAX(0, MiesiąceNajmu - MAX(0, MAX(IFERROR(IF(MOD($C60, MałyRemont) = 0,Czas_MałyRemont, 0),0),IFERROR(IF(MOD($C60,DużyRemont) = 0,Czas_DużyRemont, 0),0)) - (12 -MiesiąceNajmu))))</f>
        <v>0</v>
      </c>
      <c r="I60" s="166">
        <f t="shared" si="3"/>
        <v>0</v>
      </c>
      <c r="J60" s="152" t="str">
        <f>IF(Tabela3[[#This Row],[Rok]]&gt;HoryzontInwestycyjny,"",IF(ZmianaKosztów="TAK",Inflacja,0))</f>
        <v/>
      </c>
      <c r="K60" s="155"/>
      <c r="L60" s="155"/>
      <c r="M60" s="155"/>
      <c r="N60" s="171" cm="1">
        <f t="array" ref="N60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60" s="171" cm="1">
        <f t="array" ref="O60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60" s="155" cm="1">
        <f t="array" ref="P60">IF(Tabela3[[#This Row],[Rok]]&gt;HoryzontInwestycyjny,0,IF(12-Tabela3[[#This Row],[Liczba wynajętych miesięcy w roku]]&gt;0, (12-Tabela3[[#This Row],[Liczba wynajętych miesięcy w roku]]) *CzynszWspólnoty* IF(ZmianaKosztów="Tak", PRODUCT(1+J$54:INDEX($J$54:J60, ROWS($D$54:D60)-1)), 1), 0))</f>
        <v>0</v>
      </c>
      <c r="Q60" s="170">
        <f>IF(Tabela3[[#This Row],[Rok]]&gt;HoryzontInwestycyjny,0,SUMIF(Kredyt!$E:$E,Tabela3[[#This Row],[Rok]],Kredyt!$I:$I))</f>
        <v>0</v>
      </c>
      <c r="R60" s="171">
        <f>IF(Tabela3[[#This Row],[Rok]]&gt;HoryzontInwestycyjny,0,SUMIF(Kredyt!$E:$E,Tabela3[[#This Row],[Rok]],Kredyt!$J:$J))</f>
        <v>0</v>
      </c>
      <c r="S60" s="155">
        <f>Tabela3[[#This Row],[Rata kredytu: odsetki]]+Tabela3[[#This Row],[Rata kredytu: kapitał]]</f>
        <v>0</v>
      </c>
      <c r="T60" s="169" cm="1">
        <f t="array" ref="T60">IF(Tabela3[[#This Row],[Rok]]&gt;HoryzontInwestycyjny,0,IFERROR(INDEX(Kredyt!$M:$M,11+Tabela3[[#This Row],[Rok]]*12) * UbezŻyć,""))</f>
        <v>0</v>
      </c>
      <c r="U60" s="155" cm="1">
        <f t="array" ref="U60">IF(Tabela3[[#This Row],[Rok]]&gt;HoryzontInwestycyjny,0,IF(CzasKredytu&gt;=Tabela3[[#This Row],[Rok]],IF(ZmianaKosztów="Tak",UbezMiesz* PRODUCT(1+J60:J60), UbezMiesz),""))</f>
        <v>0</v>
      </c>
      <c r="V60" s="155" cm="1">
        <f t="array" ref="V60">IF(Tabela3[[#This Row],[Rok]]&gt;HoryzontInwestycyjny,0,IF(ZmianaKosztów="Tak", PodatekOdNieruchomości * PRODUCT(1+J$54:J59), PodNie))</f>
        <v>0</v>
      </c>
      <c r="W60" s="155">
        <f>KosztyZarządzania*Tabela3[[#This Row],[Przychody z wynajmu]]</f>
        <v>0</v>
      </c>
      <c r="X60" s="155" cm="1">
        <f t="array" ref="X60">IF(Tabela3[[#This Row],[Rok]]&gt;HoryzontInwestycyjny,0,IF(ZmianaKosztów="Tak", InneKosztyRocznie* PRODUCT(1+J$55:J60), InneKosztyRocznie))</f>
        <v>0</v>
      </c>
      <c r="Y60" s="155">
        <f>SUM(Tabela3[[#This Row],[Cena mieszkania + remont początkowy]:[Inne koszty]])-Tabela3[[#This Row],[Rata kredytu]]</f>
        <v>0</v>
      </c>
      <c r="Z60" s="155">
        <f>IF(Tabela3[[#This Row],[Przychody z wynajmu]]&lt;=100000, Tabela3[[#This Row],[Przychody z wynajmu]]*MałyPodatek, 100000*MałyPodatek + (Tabela3[[#This Row],[Przychody z wynajmu]]-100000)*DużyPodatek)</f>
        <v>0</v>
      </c>
      <c r="AA60" s="155">
        <f>Tabela3[[#This Row],[Wydatki związane z najmem całkowite]]+Tabela3[[#This Row],[Podatek od przychodu]]</f>
        <v>0</v>
      </c>
      <c r="AB60" s="155">
        <f>IF(Tabela3[[#This Row],[Rok]]&gt;HoryzontInwestycyjny,0,Tabela3[[#This Row],[Przychody z wynajmu]]-Tabela3[[#This Row],[Wydatki związane z najmem całkowite]]-Tabela3[[#This Row],[Podatek od przychodu]])</f>
        <v>0</v>
      </c>
      <c r="AC60" s="155">
        <f>IF(Tabela3[[#This Row],[Rok]]&gt;HoryzontInwestycyjny,0,AC59+Tabela3[[#This Row],[Wynik z najmu netto rocznie]])</f>
        <v>0</v>
      </c>
      <c r="AD60" s="176" t="str">
        <f>IF(Tabela3[[#This Row],[Rok]]&gt;HoryzontInwestycyjny,"",IF(ZmianaWartościNieruchomości="Inflacyjnie",Inflacja,0))</f>
        <v/>
      </c>
      <c r="AE60" s="177" t="str">
        <f>IF(Tabela3[[#This Row],[Rok]]&gt;HoryzontInwestycyjny,"",StałyProcentZmianyWartościNieruchomości)</f>
        <v/>
      </c>
      <c r="AF60" s="178" t="str">
        <f>IF(Tabela3[[#This Row],[Rok]]&gt;HoryzontInwestycyjny,"",StałaKwotaZmianyWartościNieruchomości)</f>
        <v/>
      </c>
      <c r="AG60" s="155">
        <f>IF(Tabela3[[#This Row],[Rok]]&gt;HoryzontInwestycyjny,0,IF(ZmianaWartościNieruchomości="bez zmian",AG59,IF(ZmianaWartościNieruchomości="inflacyjnie",AG59*(1+Tabela3[[#This Row],[Inflacja3]]),IF(ZmianaWartościNieruchomości="stały %",AG59*(1+Tabela3[[#This Row],[Stały % zmiany warrtości]]),IF(ZmianaWartościNieruchomości="stała kwota",AG59+AF60,AG59)))))</f>
        <v>0</v>
      </c>
      <c r="AH60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60" s="177" cm="1">
        <f t="array" ref="AI60">Tabela3[[#This Row],[Wynik z najmu netto rocznie]]/IF(CzyKredyt="Tak",WydanaGotówka2,WydanaGotówka1)</f>
        <v>0</v>
      </c>
      <c r="AJ60" s="177" cm="1">
        <f t="array" ref="AJ60">Tabela3[[#This Row],[Wynik z najmu netto rocznie]]/IF(CzyKredyt="Tak",SumaKosztówPoczątkowychInwestycji,SumaKosztów)</f>
        <v>0</v>
      </c>
      <c r="AK60" s="155" cm="1">
        <f t="array" ref="AK60">IF(Tabela3[[#This Row],[Rok]]&gt;HoryzontInwestycyjny,0,-IF(CzyKredyt="Tak",WydanaGotówka2,WydanaGotówka1)+Tabela3[[#This Row],[Skumulowany wynik z najmu netto z najmu]])</f>
        <v>0</v>
      </c>
    </row>
    <row r="61" spans="2:37">
      <c r="C61" s="158">
        <v>8</v>
      </c>
      <c r="D61" s="152">
        <f t="shared" si="0"/>
        <v>0.02</v>
      </c>
      <c r="E61" s="152">
        <f t="shared" si="1"/>
        <v>0.04</v>
      </c>
      <c r="F61" s="167">
        <f t="shared" si="2"/>
        <v>150</v>
      </c>
      <c r="G61" s="151">
        <f>IF(Tabela3[[#This Row],[Rok]]&gt;HoryzontInwestycyjny,0,IF(ZmianaOdstępnego="bez zmian",G60,IF(ZmianaOdstępnego="inflacyjnie",G60*(1+Wyniki2!$D61),IF(ZmianaOdstępnego="stały %",G60*(1+Wyniki2!$E61),IF(ZmianaOdstępnego="stała kwota",G60+Wyniki2!$F61,)))))</f>
        <v>0</v>
      </c>
      <c r="H61" s="165">
        <f>IF(Tabela3[[#This Row],[Rok]]&gt;HoryzontInwestycyjny,0,MAX(0, MiesiąceNajmu - MAX(0, MAX(IFERROR(IF(MOD($C61, MałyRemont) = 0,Czas_MałyRemont, 0),0),IFERROR(IF(MOD($C61,DużyRemont) = 0,Czas_DużyRemont, 0),0)) - (12 -MiesiąceNajmu))))</f>
        <v>0</v>
      </c>
      <c r="I61" s="166">
        <f t="shared" si="3"/>
        <v>0</v>
      </c>
      <c r="J61" s="152" t="str">
        <f>IF(Tabela3[[#This Row],[Rok]]&gt;HoryzontInwestycyjny,"",IF(ZmianaKosztów="TAK",Inflacja,0))</f>
        <v/>
      </c>
      <c r="K61" s="155"/>
      <c r="L61" s="155"/>
      <c r="M61" s="155"/>
      <c r="N61" s="171" cm="1">
        <f t="array" ref="N61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61" s="171" cm="1">
        <f t="array" ref="O61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61" s="155" cm="1">
        <f t="array" ref="P61">IF(Tabela3[[#This Row],[Rok]]&gt;HoryzontInwestycyjny,0,IF(12-Tabela3[[#This Row],[Liczba wynajętych miesięcy w roku]]&gt;0, (12-Tabela3[[#This Row],[Liczba wynajętych miesięcy w roku]]) *CzynszWspólnoty* IF(ZmianaKosztów="Tak", PRODUCT(1+J$54:INDEX($J$54:J61, ROWS($D$54:D61)-1)), 1), 0))</f>
        <v>0</v>
      </c>
      <c r="Q61" s="170">
        <f>IF(Tabela3[[#This Row],[Rok]]&gt;HoryzontInwestycyjny,0,SUMIF(Kredyt!$E:$E,Tabela3[[#This Row],[Rok]],Kredyt!$I:$I))</f>
        <v>0</v>
      </c>
      <c r="R61" s="171">
        <f>IF(Tabela3[[#This Row],[Rok]]&gt;HoryzontInwestycyjny,0,SUMIF(Kredyt!$E:$E,Tabela3[[#This Row],[Rok]],Kredyt!$J:$J))</f>
        <v>0</v>
      </c>
      <c r="S61" s="155">
        <f>Tabela3[[#This Row],[Rata kredytu: odsetki]]+Tabela3[[#This Row],[Rata kredytu: kapitał]]</f>
        <v>0</v>
      </c>
      <c r="T61" s="169" cm="1">
        <f t="array" ref="T61">IF(Tabela3[[#This Row],[Rok]]&gt;HoryzontInwestycyjny,0,IFERROR(INDEX(Kredyt!$M:$M,11+Tabela3[[#This Row],[Rok]]*12) * UbezŻyć,""))</f>
        <v>0</v>
      </c>
      <c r="U61" s="155" cm="1">
        <f t="array" ref="U61">IF(Tabela3[[#This Row],[Rok]]&gt;HoryzontInwestycyjny,0,IF(CzasKredytu&gt;=Tabela3[[#This Row],[Rok]],IF(ZmianaKosztów="Tak",UbezMiesz* PRODUCT(1+J61:J61), UbezMiesz),""))</f>
        <v>0</v>
      </c>
      <c r="V61" s="155" cm="1">
        <f t="array" ref="V61">IF(Tabela3[[#This Row],[Rok]]&gt;HoryzontInwestycyjny,0,IF(ZmianaKosztów="Tak", PodatekOdNieruchomości * PRODUCT(1+J$54:J60), PodNie))</f>
        <v>0</v>
      </c>
      <c r="W61" s="155">
        <f>KosztyZarządzania*Tabela3[[#This Row],[Przychody z wynajmu]]</f>
        <v>0</v>
      </c>
      <c r="X61" s="155" cm="1">
        <f t="array" ref="X61">IF(Tabela3[[#This Row],[Rok]]&gt;HoryzontInwestycyjny,0,IF(ZmianaKosztów="Tak", InneKosztyRocznie* PRODUCT(1+J$55:J61), InneKosztyRocznie))</f>
        <v>0</v>
      </c>
      <c r="Y61" s="155">
        <f>SUM(Tabela3[[#This Row],[Cena mieszkania + remont początkowy]:[Inne koszty]])-Tabela3[[#This Row],[Rata kredytu]]</f>
        <v>0</v>
      </c>
      <c r="Z61" s="155">
        <f>IF(Tabela3[[#This Row],[Przychody z wynajmu]]&lt;=100000, Tabela3[[#This Row],[Przychody z wynajmu]]*MałyPodatek, 100000*MałyPodatek + (Tabela3[[#This Row],[Przychody z wynajmu]]-100000)*DużyPodatek)</f>
        <v>0</v>
      </c>
      <c r="AA61" s="155">
        <f>Tabela3[[#This Row],[Wydatki związane z najmem całkowite]]+Tabela3[[#This Row],[Podatek od przychodu]]</f>
        <v>0</v>
      </c>
      <c r="AB61" s="155">
        <f>IF(Tabela3[[#This Row],[Rok]]&gt;HoryzontInwestycyjny,0,Tabela3[[#This Row],[Przychody z wynajmu]]-Tabela3[[#This Row],[Wydatki związane z najmem całkowite]]-Tabela3[[#This Row],[Podatek od przychodu]])</f>
        <v>0</v>
      </c>
      <c r="AC61" s="155">
        <f>IF(Tabela3[[#This Row],[Rok]]&gt;HoryzontInwestycyjny,0,AC60+Tabela3[[#This Row],[Wynik z najmu netto rocznie]])</f>
        <v>0</v>
      </c>
      <c r="AD61" s="176" t="str">
        <f>IF(Tabela3[[#This Row],[Rok]]&gt;HoryzontInwestycyjny,"",IF(ZmianaWartościNieruchomości="Inflacyjnie",Inflacja,0))</f>
        <v/>
      </c>
      <c r="AE61" s="177" t="str">
        <f>IF(Tabela3[[#This Row],[Rok]]&gt;HoryzontInwestycyjny,"",StałyProcentZmianyWartościNieruchomości)</f>
        <v/>
      </c>
      <c r="AF61" s="178" t="str">
        <f>IF(Tabela3[[#This Row],[Rok]]&gt;HoryzontInwestycyjny,"",StałaKwotaZmianyWartościNieruchomości)</f>
        <v/>
      </c>
      <c r="AG61" s="155">
        <f>IF(Tabela3[[#This Row],[Rok]]&gt;HoryzontInwestycyjny,0,IF(ZmianaWartościNieruchomości="bez zmian",AG60,IF(ZmianaWartościNieruchomości="inflacyjnie",AG60*(1+Tabela3[[#This Row],[Inflacja3]]),IF(ZmianaWartościNieruchomości="stały %",AG60*(1+Tabela3[[#This Row],[Stały % zmiany warrtości]]),IF(ZmianaWartościNieruchomości="stała kwota",AG60+AF61,AG60)))))</f>
        <v>0</v>
      </c>
      <c r="AH61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61" s="177" cm="1">
        <f t="array" ref="AI61">Tabela3[[#This Row],[Wynik z najmu netto rocznie]]/IF(CzyKredyt="Tak",WydanaGotówka2,WydanaGotówka1)</f>
        <v>0</v>
      </c>
      <c r="AJ61" s="177" cm="1">
        <f t="array" ref="AJ61">Tabela3[[#This Row],[Wynik z najmu netto rocznie]]/IF(CzyKredyt="Tak",SumaKosztówPoczątkowychInwestycji,SumaKosztów)</f>
        <v>0</v>
      </c>
      <c r="AK61" s="155" cm="1">
        <f t="array" ref="AK61">IF(Tabela3[[#This Row],[Rok]]&gt;HoryzontInwestycyjny,0,-IF(CzyKredyt="Tak",WydanaGotówka2,WydanaGotówka1)+Tabela3[[#This Row],[Skumulowany wynik z najmu netto z najmu]])</f>
        <v>0</v>
      </c>
    </row>
    <row r="62" spans="2:37">
      <c r="C62" s="158">
        <v>9</v>
      </c>
      <c r="D62" s="152">
        <f t="shared" si="0"/>
        <v>0.02</v>
      </c>
      <c r="E62" s="152">
        <f t="shared" si="1"/>
        <v>0.04</v>
      </c>
      <c r="F62" s="167">
        <f t="shared" si="2"/>
        <v>150</v>
      </c>
      <c r="G62" s="151">
        <f>IF(Tabela3[[#This Row],[Rok]]&gt;HoryzontInwestycyjny,0,IF(ZmianaOdstępnego="bez zmian",G61,IF(ZmianaOdstępnego="inflacyjnie",G61*(1+Wyniki2!$D62),IF(ZmianaOdstępnego="stały %",G61*(1+Wyniki2!$E62),IF(ZmianaOdstępnego="stała kwota",G61+Wyniki2!$F62,)))))</f>
        <v>0</v>
      </c>
      <c r="H62" s="165">
        <f>IF(Tabela3[[#This Row],[Rok]]&gt;HoryzontInwestycyjny,0,MAX(0, MiesiąceNajmu - MAX(0, MAX(IFERROR(IF(MOD($C62, MałyRemont) = 0,Czas_MałyRemont, 0),0),IFERROR(IF(MOD($C62,DużyRemont) = 0,Czas_DużyRemont, 0),0)) - (12 -MiesiąceNajmu))))</f>
        <v>0</v>
      </c>
      <c r="I62" s="166">
        <f t="shared" si="3"/>
        <v>0</v>
      </c>
      <c r="J62" s="152" t="str">
        <f>IF(Tabela3[[#This Row],[Rok]]&gt;HoryzontInwestycyjny,"",IF(ZmianaKosztów="TAK",Inflacja,0))</f>
        <v/>
      </c>
      <c r="K62" s="155"/>
      <c r="L62" s="155"/>
      <c r="M62" s="155"/>
      <c r="N62" s="171" cm="1">
        <f t="array" ref="N62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62" s="171" cm="1">
        <f t="array" ref="O62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62" s="155" cm="1">
        <f t="array" ref="P62">IF(Tabela3[[#This Row],[Rok]]&gt;HoryzontInwestycyjny,0,IF(12-Tabela3[[#This Row],[Liczba wynajętych miesięcy w roku]]&gt;0, (12-Tabela3[[#This Row],[Liczba wynajętych miesięcy w roku]]) *CzynszWspólnoty* IF(ZmianaKosztów="Tak", PRODUCT(1+J$54:INDEX($J$54:J62, ROWS($D$54:D62)-1)), 1), 0))</f>
        <v>0</v>
      </c>
      <c r="Q62" s="170">
        <f>IF(Tabela3[[#This Row],[Rok]]&gt;HoryzontInwestycyjny,0,SUMIF(Kredyt!$E:$E,Tabela3[[#This Row],[Rok]],Kredyt!$I:$I))</f>
        <v>0</v>
      </c>
      <c r="R62" s="171">
        <f>IF(Tabela3[[#This Row],[Rok]]&gt;HoryzontInwestycyjny,0,SUMIF(Kredyt!$E:$E,Tabela3[[#This Row],[Rok]],Kredyt!$J:$J))</f>
        <v>0</v>
      </c>
      <c r="S62" s="155">
        <f>Tabela3[[#This Row],[Rata kredytu: odsetki]]+Tabela3[[#This Row],[Rata kredytu: kapitał]]</f>
        <v>0</v>
      </c>
      <c r="T62" s="169" cm="1">
        <f t="array" ref="T62">IF(Tabela3[[#This Row],[Rok]]&gt;HoryzontInwestycyjny,0,IFERROR(INDEX(Kredyt!$M:$M,11+Tabela3[[#This Row],[Rok]]*12) * UbezŻyć,""))</f>
        <v>0</v>
      </c>
      <c r="U62" s="155" cm="1">
        <f t="array" ref="U62">IF(Tabela3[[#This Row],[Rok]]&gt;HoryzontInwestycyjny,0,IF(CzasKredytu&gt;=Tabela3[[#This Row],[Rok]],IF(ZmianaKosztów="Tak",UbezMiesz* PRODUCT(1+J62:J62), UbezMiesz),""))</f>
        <v>0</v>
      </c>
      <c r="V62" s="155" cm="1">
        <f t="array" ref="V62">IF(Tabela3[[#This Row],[Rok]]&gt;HoryzontInwestycyjny,0,IF(ZmianaKosztów="Tak", PodatekOdNieruchomości * PRODUCT(1+J$54:J61), PodNie))</f>
        <v>0</v>
      </c>
      <c r="W62" s="155">
        <f>KosztyZarządzania*Tabela3[[#This Row],[Przychody z wynajmu]]</f>
        <v>0</v>
      </c>
      <c r="X62" s="155" cm="1">
        <f t="array" ref="X62">IF(Tabela3[[#This Row],[Rok]]&gt;HoryzontInwestycyjny,0,IF(ZmianaKosztów="Tak", InneKosztyRocznie* PRODUCT(1+J$55:J62), InneKosztyRocznie))</f>
        <v>0</v>
      </c>
      <c r="Y62" s="155">
        <f>SUM(Tabela3[[#This Row],[Cena mieszkania + remont początkowy]:[Inne koszty]])-Tabela3[[#This Row],[Rata kredytu]]</f>
        <v>0</v>
      </c>
      <c r="Z62" s="155">
        <f>IF(Tabela3[[#This Row],[Przychody z wynajmu]]&lt;=100000, Tabela3[[#This Row],[Przychody z wynajmu]]*MałyPodatek, 100000*MałyPodatek + (Tabela3[[#This Row],[Przychody z wynajmu]]-100000)*DużyPodatek)</f>
        <v>0</v>
      </c>
      <c r="AA62" s="155">
        <f>Tabela3[[#This Row],[Wydatki związane z najmem całkowite]]+Tabela3[[#This Row],[Podatek od przychodu]]</f>
        <v>0</v>
      </c>
      <c r="AB62" s="155">
        <f>IF(Tabela3[[#This Row],[Rok]]&gt;HoryzontInwestycyjny,0,Tabela3[[#This Row],[Przychody z wynajmu]]-Tabela3[[#This Row],[Wydatki związane z najmem całkowite]]-Tabela3[[#This Row],[Podatek od przychodu]])</f>
        <v>0</v>
      </c>
      <c r="AC62" s="155">
        <f>IF(Tabela3[[#This Row],[Rok]]&gt;HoryzontInwestycyjny,0,AC61+Tabela3[[#This Row],[Wynik z najmu netto rocznie]])</f>
        <v>0</v>
      </c>
      <c r="AD62" s="176" t="str">
        <f>IF(Tabela3[[#This Row],[Rok]]&gt;HoryzontInwestycyjny,"",IF(ZmianaWartościNieruchomości="Inflacyjnie",Inflacja,0))</f>
        <v/>
      </c>
      <c r="AE62" s="177" t="str">
        <f>IF(Tabela3[[#This Row],[Rok]]&gt;HoryzontInwestycyjny,"",StałyProcentZmianyWartościNieruchomości)</f>
        <v/>
      </c>
      <c r="AF62" s="178" t="str">
        <f>IF(Tabela3[[#This Row],[Rok]]&gt;HoryzontInwestycyjny,"",StałaKwotaZmianyWartościNieruchomości)</f>
        <v/>
      </c>
      <c r="AG62" s="155">
        <f>IF(Tabela3[[#This Row],[Rok]]&gt;HoryzontInwestycyjny,0,IF(ZmianaWartościNieruchomości="bez zmian",AG61,IF(ZmianaWartościNieruchomości="inflacyjnie",AG61*(1+Tabela3[[#This Row],[Inflacja3]]),IF(ZmianaWartościNieruchomości="stały %",AG61*(1+Tabela3[[#This Row],[Stały % zmiany warrtości]]),IF(ZmianaWartościNieruchomości="stała kwota",AG61+AF62,AG61)))))</f>
        <v>0</v>
      </c>
      <c r="AH62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62" s="177" cm="1">
        <f t="array" ref="AI62">Tabela3[[#This Row],[Wynik z najmu netto rocznie]]/IF(CzyKredyt="Tak",WydanaGotówka2,WydanaGotówka1)</f>
        <v>0</v>
      </c>
      <c r="AJ62" s="177" cm="1">
        <f t="array" ref="AJ62">Tabela3[[#This Row],[Wynik z najmu netto rocznie]]/IF(CzyKredyt="Tak",SumaKosztówPoczątkowychInwestycji,SumaKosztów)</f>
        <v>0</v>
      </c>
      <c r="AK62" s="155" cm="1">
        <f t="array" ref="AK62">IF(Tabela3[[#This Row],[Rok]]&gt;HoryzontInwestycyjny,0,-IF(CzyKredyt="Tak",WydanaGotówka2,WydanaGotówka1)+Tabela3[[#This Row],[Skumulowany wynik z najmu netto z najmu]])</f>
        <v>0</v>
      </c>
    </row>
    <row r="63" spans="2:37">
      <c r="C63" s="158">
        <v>10</v>
      </c>
      <c r="D63" s="152">
        <f t="shared" si="0"/>
        <v>0.02</v>
      </c>
      <c r="E63" s="152">
        <f t="shared" si="1"/>
        <v>0.04</v>
      </c>
      <c r="F63" s="167">
        <f t="shared" si="2"/>
        <v>150</v>
      </c>
      <c r="G63" s="151">
        <f>IF(Tabela3[[#This Row],[Rok]]&gt;HoryzontInwestycyjny,0,IF(ZmianaOdstępnego="bez zmian",G62,IF(ZmianaOdstępnego="inflacyjnie",G62*(1+Wyniki2!$D63),IF(ZmianaOdstępnego="stały %",G62*(1+Wyniki2!$E63),IF(ZmianaOdstępnego="stała kwota",G62+Wyniki2!$F63,)))))</f>
        <v>0</v>
      </c>
      <c r="H63" s="165">
        <f>IF(Tabela3[[#This Row],[Rok]]&gt;HoryzontInwestycyjny,0,MAX(0, MiesiąceNajmu - MAX(0, MAX(IFERROR(IF(MOD($C63, MałyRemont) = 0,Czas_MałyRemont, 0),0),IFERROR(IF(MOD($C63,DużyRemont) = 0,Czas_DużyRemont, 0),0)) - (12 -MiesiąceNajmu))))</f>
        <v>0</v>
      </c>
      <c r="I63" s="166">
        <f t="shared" si="3"/>
        <v>0</v>
      </c>
      <c r="J63" s="152" t="str">
        <f>IF(Tabela3[[#This Row],[Rok]]&gt;HoryzontInwestycyjny,"",IF(ZmianaKosztów="TAK",Inflacja,0))</f>
        <v/>
      </c>
      <c r="K63" s="155"/>
      <c r="L63" s="155"/>
      <c r="M63" s="155"/>
      <c r="N63" s="171" cm="1">
        <f t="array" ref="N63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63" s="171" cm="1">
        <f t="array" ref="O63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63" s="155" cm="1">
        <f t="array" ref="P63">IF(Tabela3[[#This Row],[Rok]]&gt;HoryzontInwestycyjny,0,IF(12-Tabela3[[#This Row],[Liczba wynajętych miesięcy w roku]]&gt;0, (12-Tabela3[[#This Row],[Liczba wynajętych miesięcy w roku]]) *CzynszWspólnoty* IF(ZmianaKosztów="Tak", PRODUCT(1+J$54:INDEX($J$54:J63, ROWS($D$54:D63)-1)), 1), 0))</f>
        <v>0</v>
      </c>
      <c r="Q63" s="170">
        <f>IF(Tabela3[[#This Row],[Rok]]&gt;HoryzontInwestycyjny,0,SUMIF(Kredyt!$E:$E,Tabela3[[#This Row],[Rok]],Kredyt!$I:$I))</f>
        <v>0</v>
      </c>
      <c r="R63" s="171">
        <f>IF(Tabela3[[#This Row],[Rok]]&gt;HoryzontInwestycyjny,0,SUMIF(Kredyt!$E:$E,Tabela3[[#This Row],[Rok]],Kredyt!$J:$J))</f>
        <v>0</v>
      </c>
      <c r="S63" s="155">
        <f>Tabela3[[#This Row],[Rata kredytu: odsetki]]+Tabela3[[#This Row],[Rata kredytu: kapitał]]</f>
        <v>0</v>
      </c>
      <c r="T63" s="169" cm="1">
        <f t="array" ref="T63">IF(Tabela3[[#This Row],[Rok]]&gt;HoryzontInwestycyjny,0,IFERROR(INDEX(Kredyt!$M:$M,11+Tabela3[[#This Row],[Rok]]*12) * UbezŻyć,""))</f>
        <v>0</v>
      </c>
      <c r="U63" s="155" cm="1">
        <f t="array" ref="U63">IF(Tabela3[[#This Row],[Rok]]&gt;HoryzontInwestycyjny,0,IF(CzasKredytu&gt;=Tabela3[[#This Row],[Rok]],IF(ZmianaKosztów="Tak",UbezMiesz* PRODUCT(1+J63:J63), UbezMiesz),""))</f>
        <v>0</v>
      </c>
      <c r="V63" s="155" cm="1">
        <f t="array" ref="V63">IF(Tabela3[[#This Row],[Rok]]&gt;HoryzontInwestycyjny,0,IF(ZmianaKosztów="Tak", PodatekOdNieruchomości * PRODUCT(1+J$54:J62), PodNie))</f>
        <v>0</v>
      </c>
      <c r="W63" s="155">
        <f>KosztyZarządzania*Tabela3[[#This Row],[Przychody z wynajmu]]</f>
        <v>0</v>
      </c>
      <c r="X63" s="155" cm="1">
        <f t="array" ref="X63">IF(Tabela3[[#This Row],[Rok]]&gt;HoryzontInwestycyjny,0,IF(ZmianaKosztów="Tak", InneKosztyRocznie* PRODUCT(1+J$55:J63), InneKosztyRocznie))</f>
        <v>0</v>
      </c>
      <c r="Y63" s="155">
        <f>SUM(Tabela3[[#This Row],[Cena mieszkania + remont początkowy]:[Inne koszty]])-Tabela3[[#This Row],[Rata kredytu]]</f>
        <v>0</v>
      </c>
      <c r="Z63" s="155">
        <f>IF(Tabela3[[#This Row],[Przychody z wynajmu]]&lt;=100000, Tabela3[[#This Row],[Przychody z wynajmu]]*MałyPodatek, 100000*MałyPodatek + (Tabela3[[#This Row],[Przychody z wynajmu]]-100000)*DużyPodatek)</f>
        <v>0</v>
      </c>
      <c r="AA63" s="155">
        <f>Tabela3[[#This Row],[Wydatki związane z najmem całkowite]]+Tabela3[[#This Row],[Podatek od przychodu]]</f>
        <v>0</v>
      </c>
      <c r="AB63" s="155">
        <f>IF(Tabela3[[#This Row],[Rok]]&gt;HoryzontInwestycyjny,0,Tabela3[[#This Row],[Przychody z wynajmu]]-Tabela3[[#This Row],[Wydatki związane z najmem całkowite]]-Tabela3[[#This Row],[Podatek od przychodu]])</f>
        <v>0</v>
      </c>
      <c r="AC63" s="155">
        <f>IF(Tabela3[[#This Row],[Rok]]&gt;HoryzontInwestycyjny,0,AC62+Tabela3[[#This Row],[Wynik z najmu netto rocznie]])</f>
        <v>0</v>
      </c>
      <c r="AD63" s="176" t="str">
        <f>IF(Tabela3[[#This Row],[Rok]]&gt;HoryzontInwestycyjny,"",IF(ZmianaWartościNieruchomości="Inflacyjnie",Inflacja,0))</f>
        <v/>
      </c>
      <c r="AE63" s="177" t="str">
        <f>IF(Tabela3[[#This Row],[Rok]]&gt;HoryzontInwestycyjny,"",StałyProcentZmianyWartościNieruchomości)</f>
        <v/>
      </c>
      <c r="AF63" s="178" t="str">
        <f>IF(Tabela3[[#This Row],[Rok]]&gt;HoryzontInwestycyjny,"",StałaKwotaZmianyWartościNieruchomości)</f>
        <v/>
      </c>
      <c r="AG63" s="155">
        <f>IF(Tabela3[[#This Row],[Rok]]&gt;HoryzontInwestycyjny,0,IF(ZmianaWartościNieruchomości="bez zmian",AG62,IF(ZmianaWartościNieruchomości="inflacyjnie",AG62*(1+Tabela3[[#This Row],[Inflacja3]]),IF(ZmianaWartościNieruchomości="stały %",AG62*(1+Tabela3[[#This Row],[Stały % zmiany warrtości]]),IF(ZmianaWartościNieruchomości="stała kwota",AG62+AF63,AG62)))))</f>
        <v>0</v>
      </c>
      <c r="AH63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63" s="177" cm="1">
        <f t="array" ref="AI63">Tabela3[[#This Row],[Wynik z najmu netto rocznie]]/IF(CzyKredyt="Tak",WydanaGotówka2,WydanaGotówka1)</f>
        <v>0</v>
      </c>
      <c r="AJ63" s="177" cm="1">
        <f t="array" ref="AJ63">Tabela3[[#This Row],[Wynik z najmu netto rocznie]]/IF(CzyKredyt="Tak",SumaKosztówPoczątkowychInwestycji,SumaKosztów)</f>
        <v>0</v>
      </c>
      <c r="AK63" s="155" cm="1">
        <f t="array" ref="AK63">IF(Tabela3[[#This Row],[Rok]]&gt;HoryzontInwestycyjny,0,-IF(CzyKredyt="Tak",WydanaGotówka2,WydanaGotówka1)+Tabela3[[#This Row],[Skumulowany wynik z najmu netto z najmu]])</f>
        <v>0</v>
      </c>
    </row>
    <row r="64" spans="2:37">
      <c r="C64" s="158">
        <v>11</v>
      </c>
      <c r="D64" s="152">
        <f t="shared" si="0"/>
        <v>0.02</v>
      </c>
      <c r="E64" s="152">
        <f t="shared" si="1"/>
        <v>0.04</v>
      </c>
      <c r="F64" s="167">
        <f t="shared" si="2"/>
        <v>150</v>
      </c>
      <c r="G64" s="151">
        <f>IF(Tabela3[[#This Row],[Rok]]&gt;HoryzontInwestycyjny,0,IF(ZmianaOdstępnego="bez zmian",G63,IF(ZmianaOdstępnego="inflacyjnie",G63*(1+Wyniki2!$D64),IF(ZmianaOdstępnego="stały %",G63*(1+Wyniki2!$E64),IF(ZmianaOdstępnego="stała kwota",G63+Wyniki2!$F64,)))))</f>
        <v>0</v>
      </c>
      <c r="H64" s="165">
        <f>IF(Tabela3[[#This Row],[Rok]]&gt;HoryzontInwestycyjny,0,MAX(0, MiesiąceNajmu - MAX(0, MAX(IFERROR(IF(MOD($C64, MałyRemont) = 0,Czas_MałyRemont, 0),0),IFERROR(IF(MOD($C64,DużyRemont) = 0,Czas_DużyRemont, 0),0)) - (12 -MiesiąceNajmu))))</f>
        <v>0</v>
      </c>
      <c r="I64" s="166">
        <f t="shared" si="3"/>
        <v>0</v>
      </c>
      <c r="J64" s="152" t="str">
        <f>IF(Tabela3[[#This Row],[Rok]]&gt;HoryzontInwestycyjny,"",IF(ZmianaKosztów="TAK",Inflacja,0))</f>
        <v/>
      </c>
      <c r="K64" s="155"/>
      <c r="L64" s="155"/>
      <c r="M64" s="155"/>
      <c r="N64" s="171" cm="1">
        <f t="array" ref="N64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64" s="171" cm="1">
        <f t="array" ref="O64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64" s="155" cm="1">
        <f t="array" ref="P64">IF(Tabela3[[#This Row],[Rok]]&gt;HoryzontInwestycyjny,0,IF(12-Tabela3[[#This Row],[Liczba wynajętych miesięcy w roku]]&gt;0, (12-Tabela3[[#This Row],[Liczba wynajętych miesięcy w roku]]) *CzynszWspólnoty* IF(ZmianaKosztów="Tak", PRODUCT(1+J$54:INDEX($J$54:J64, ROWS($D$54:D64)-1)), 1), 0))</f>
        <v>0</v>
      </c>
      <c r="Q64" s="170">
        <f>IF(Tabela3[[#This Row],[Rok]]&gt;HoryzontInwestycyjny,0,SUMIF(Kredyt!$E:$E,Tabela3[[#This Row],[Rok]],Kredyt!$I:$I))</f>
        <v>0</v>
      </c>
      <c r="R64" s="171">
        <f>IF(Tabela3[[#This Row],[Rok]]&gt;HoryzontInwestycyjny,0,SUMIF(Kredyt!$E:$E,Tabela3[[#This Row],[Rok]],Kredyt!$J:$J))</f>
        <v>0</v>
      </c>
      <c r="S64" s="155">
        <f>Tabela3[[#This Row],[Rata kredytu: odsetki]]+Tabela3[[#This Row],[Rata kredytu: kapitał]]</f>
        <v>0</v>
      </c>
      <c r="T64" s="169" cm="1">
        <f t="array" ref="T64">IF(Tabela3[[#This Row],[Rok]]&gt;HoryzontInwestycyjny,0,IFERROR(INDEX(Kredyt!$M:$M,11+Tabela3[[#This Row],[Rok]]*12) * UbezŻyć,""))</f>
        <v>0</v>
      </c>
      <c r="U64" s="155" cm="1">
        <f t="array" ref="U64">IF(Tabela3[[#This Row],[Rok]]&gt;HoryzontInwestycyjny,0,IF(CzasKredytu&gt;=Tabela3[[#This Row],[Rok]],IF(ZmianaKosztów="Tak",UbezMiesz* PRODUCT(1+J64:J64), UbezMiesz),""))</f>
        <v>0</v>
      </c>
      <c r="V64" s="155" cm="1">
        <f t="array" ref="V64">IF(Tabela3[[#This Row],[Rok]]&gt;HoryzontInwestycyjny,0,IF(ZmianaKosztów="Tak", PodatekOdNieruchomości * PRODUCT(1+J$54:J63), PodNie))</f>
        <v>0</v>
      </c>
      <c r="W64" s="155">
        <f>KosztyZarządzania*Tabela3[[#This Row],[Przychody z wynajmu]]</f>
        <v>0</v>
      </c>
      <c r="X64" s="155" cm="1">
        <f t="array" ref="X64">IF(Tabela3[[#This Row],[Rok]]&gt;HoryzontInwestycyjny,0,IF(ZmianaKosztów="Tak", InneKosztyRocznie* PRODUCT(1+J$55:J64), InneKosztyRocznie))</f>
        <v>0</v>
      </c>
      <c r="Y64" s="155">
        <f>SUM(Tabela3[[#This Row],[Cena mieszkania + remont początkowy]:[Inne koszty]])-Tabela3[[#This Row],[Rata kredytu]]</f>
        <v>0</v>
      </c>
      <c r="Z64" s="155">
        <f>IF(Tabela3[[#This Row],[Przychody z wynajmu]]&lt;=100000, Tabela3[[#This Row],[Przychody z wynajmu]]*MałyPodatek, 100000*MałyPodatek + (Tabela3[[#This Row],[Przychody z wynajmu]]-100000)*DużyPodatek)</f>
        <v>0</v>
      </c>
      <c r="AA64" s="155">
        <f>Tabela3[[#This Row],[Wydatki związane z najmem całkowite]]+Tabela3[[#This Row],[Podatek od przychodu]]</f>
        <v>0</v>
      </c>
      <c r="AB64" s="155">
        <f>IF(Tabela3[[#This Row],[Rok]]&gt;HoryzontInwestycyjny,0,Tabela3[[#This Row],[Przychody z wynajmu]]-Tabela3[[#This Row],[Wydatki związane z najmem całkowite]]-Tabela3[[#This Row],[Podatek od przychodu]])</f>
        <v>0</v>
      </c>
      <c r="AC64" s="155">
        <f>IF(Tabela3[[#This Row],[Rok]]&gt;HoryzontInwestycyjny,0,AC63+Tabela3[[#This Row],[Wynik z najmu netto rocznie]])</f>
        <v>0</v>
      </c>
      <c r="AD64" s="176" t="str">
        <f>IF(Tabela3[[#This Row],[Rok]]&gt;HoryzontInwestycyjny,"",IF(ZmianaWartościNieruchomości="Inflacyjnie",Inflacja,0))</f>
        <v/>
      </c>
      <c r="AE64" s="177" t="str">
        <f>IF(Tabela3[[#This Row],[Rok]]&gt;HoryzontInwestycyjny,"",StałyProcentZmianyWartościNieruchomości)</f>
        <v/>
      </c>
      <c r="AF64" s="178" t="str">
        <f>IF(Tabela3[[#This Row],[Rok]]&gt;HoryzontInwestycyjny,"",StałaKwotaZmianyWartościNieruchomości)</f>
        <v/>
      </c>
      <c r="AG64" s="155">
        <f>IF(Tabela3[[#This Row],[Rok]]&gt;HoryzontInwestycyjny,0,IF(ZmianaWartościNieruchomości="bez zmian",AG63,IF(ZmianaWartościNieruchomości="inflacyjnie",AG63*(1+Tabela3[[#This Row],[Inflacja3]]),IF(ZmianaWartościNieruchomości="stały %",AG63*(1+Tabela3[[#This Row],[Stały % zmiany warrtości]]),IF(ZmianaWartościNieruchomości="stała kwota",AG63+AF64,AG63)))))</f>
        <v>0</v>
      </c>
      <c r="AH64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64" s="177" cm="1">
        <f t="array" ref="AI64">Tabela3[[#This Row],[Wynik z najmu netto rocznie]]/IF(CzyKredyt="Tak",WydanaGotówka2,WydanaGotówka1)</f>
        <v>0</v>
      </c>
      <c r="AJ64" s="177" cm="1">
        <f t="array" ref="AJ64">Tabela3[[#This Row],[Wynik z najmu netto rocznie]]/IF(CzyKredyt="Tak",SumaKosztówPoczątkowychInwestycji,SumaKosztów)</f>
        <v>0</v>
      </c>
      <c r="AK64" s="155" cm="1">
        <f t="array" ref="AK64">IF(Tabela3[[#This Row],[Rok]]&gt;HoryzontInwestycyjny,0,-IF(CzyKredyt="Tak",WydanaGotówka2,WydanaGotówka1)+Tabela3[[#This Row],[Skumulowany wynik z najmu netto z najmu]])</f>
        <v>0</v>
      </c>
    </row>
    <row r="65" spans="3:37">
      <c r="C65" s="158">
        <v>12</v>
      </c>
      <c r="D65" s="152">
        <f t="shared" si="0"/>
        <v>0.02</v>
      </c>
      <c r="E65" s="152">
        <f t="shared" si="1"/>
        <v>0.04</v>
      </c>
      <c r="F65" s="167">
        <f t="shared" si="2"/>
        <v>150</v>
      </c>
      <c r="G65" s="151">
        <f>IF(Tabela3[[#This Row],[Rok]]&gt;HoryzontInwestycyjny,0,IF(ZmianaOdstępnego="bez zmian",G64,IF(ZmianaOdstępnego="inflacyjnie",G64*(1+Wyniki2!$D65),IF(ZmianaOdstępnego="stały %",G64*(1+Wyniki2!$E65),IF(ZmianaOdstępnego="stała kwota",G64+Wyniki2!$F65,)))))</f>
        <v>0</v>
      </c>
      <c r="H65" s="165">
        <f>IF(Tabela3[[#This Row],[Rok]]&gt;HoryzontInwestycyjny,0,MAX(0, MiesiąceNajmu - MAX(0, MAX(IFERROR(IF(MOD($C65, MałyRemont) = 0,Czas_MałyRemont, 0),0),IFERROR(IF(MOD($C65,DużyRemont) = 0,Czas_DużyRemont, 0),0)) - (12 -MiesiąceNajmu))))</f>
        <v>0</v>
      </c>
      <c r="I65" s="166">
        <f t="shared" si="3"/>
        <v>0</v>
      </c>
      <c r="J65" s="152" t="str">
        <f>IF(Tabela3[[#This Row],[Rok]]&gt;HoryzontInwestycyjny,"",IF(ZmianaKosztów="TAK",Inflacja,0))</f>
        <v/>
      </c>
      <c r="K65" s="155"/>
      <c r="L65" s="155"/>
      <c r="M65" s="155"/>
      <c r="N65" s="171" cm="1">
        <f t="array" ref="N65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65" s="171" cm="1">
        <f t="array" ref="O65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65" s="155" cm="1">
        <f t="array" ref="P65">IF(Tabela3[[#This Row],[Rok]]&gt;HoryzontInwestycyjny,0,IF(12-Tabela3[[#This Row],[Liczba wynajętych miesięcy w roku]]&gt;0, (12-Tabela3[[#This Row],[Liczba wynajętych miesięcy w roku]]) *CzynszWspólnoty* IF(ZmianaKosztów="Tak", PRODUCT(1+J$54:INDEX($J$54:J65, ROWS($D$54:D65)-1)), 1), 0))</f>
        <v>0</v>
      </c>
      <c r="Q65" s="170">
        <f>IF(Tabela3[[#This Row],[Rok]]&gt;HoryzontInwestycyjny,0,SUMIF(Kredyt!$E:$E,Tabela3[[#This Row],[Rok]],Kredyt!$I:$I))</f>
        <v>0</v>
      </c>
      <c r="R65" s="171">
        <f>IF(Tabela3[[#This Row],[Rok]]&gt;HoryzontInwestycyjny,0,SUMIF(Kredyt!$E:$E,Tabela3[[#This Row],[Rok]],Kredyt!$J:$J))</f>
        <v>0</v>
      </c>
      <c r="S65" s="155">
        <f>Tabela3[[#This Row],[Rata kredytu: odsetki]]+Tabela3[[#This Row],[Rata kredytu: kapitał]]</f>
        <v>0</v>
      </c>
      <c r="T65" s="169" cm="1">
        <f t="array" ref="T65">IF(Tabela3[[#This Row],[Rok]]&gt;HoryzontInwestycyjny,0,IFERROR(INDEX(Kredyt!$M:$M,11+Tabela3[[#This Row],[Rok]]*12) * UbezŻyć,""))</f>
        <v>0</v>
      </c>
      <c r="U65" s="155" cm="1">
        <f t="array" ref="U65">IF(Tabela3[[#This Row],[Rok]]&gt;HoryzontInwestycyjny,0,IF(CzasKredytu&gt;=Tabela3[[#This Row],[Rok]],IF(ZmianaKosztów="Tak",UbezMiesz* PRODUCT(1+J65:J65), UbezMiesz),""))</f>
        <v>0</v>
      </c>
      <c r="V65" s="155" cm="1">
        <f t="array" ref="V65">IF(Tabela3[[#This Row],[Rok]]&gt;HoryzontInwestycyjny,0,IF(ZmianaKosztów="Tak", PodatekOdNieruchomości * PRODUCT(1+J$54:J64), PodNie))</f>
        <v>0</v>
      </c>
      <c r="W65" s="155">
        <f>KosztyZarządzania*Tabela3[[#This Row],[Przychody z wynajmu]]</f>
        <v>0</v>
      </c>
      <c r="X65" s="155" cm="1">
        <f t="array" ref="X65">IF(Tabela3[[#This Row],[Rok]]&gt;HoryzontInwestycyjny,0,IF(ZmianaKosztów="Tak", InneKosztyRocznie* PRODUCT(1+J$55:J65), InneKosztyRocznie))</f>
        <v>0</v>
      </c>
      <c r="Y65" s="155">
        <f>SUM(Tabela3[[#This Row],[Cena mieszkania + remont początkowy]:[Inne koszty]])-Tabela3[[#This Row],[Rata kredytu]]</f>
        <v>0</v>
      </c>
      <c r="Z65" s="155">
        <f>IF(Tabela3[[#This Row],[Przychody z wynajmu]]&lt;=100000, Tabela3[[#This Row],[Przychody z wynajmu]]*MałyPodatek, 100000*MałyPodatek + (Tabela3[[#This Row],[Przychody z wynajmu]]-100000)*DużyPodatek)</f>
        <v>0</v>
      </c>
      <c r="AA65" s="155">
        <f>Tabela3[[#This Row],[Wydatki związane z najmem całkowite]]+Tabela3[[#This Row],[Podatek od przychodu]]</f>
        <v>0</v>
      </c>
      <c r="AB65" s="155">
        <f>IF(Tabela3[[#This Row],[Rok]]&gt;HoryzontInwestycyjny,0,Tabela3[[#This Row],[Przychody z wynajmu]]-Tabela3[[#This Row],[Wydatki związane z najmem całkowite]]-Tabela3[[#This Row],[Podatek od przychodu]])</f>
        <v>0</v>
      </c>
      <c r="AC65" s="155">
        <f>IF(Tabela3[[#This Row],[Rok]]&gt;HoryzontInwestycyjny,0,AC64+Tabela3[[#This Row],[Wynik z najmu netto rocznie]])</f>
        <v>0</v>
      </c>
      <c r="AD65" s="176" t="str">
        <f>IF(Tabela3[[#This Row],[Rok]]&gt;HoryzontInwestycyjny,"",IF(ZmianaWartościNieruchomości="Inflacyjnie",Inflacja,0))</f>
        <v/>
      </c>
      <c r="AE65" s="177" t="str">
        <f>IF(Tabela3[[#This Row],[Rok]]&gt;HoryzontInwestycyjny,"",StałyProcentZmianyWartościNieruchomości)</f>
        <v/>
      </c>
      <c r="AF65" s="178" t="str">
        <f>IF(Tabela3[[#This Row],[Rok]]&gt;HoryzontInwestycyjny,"",StałaKwotaZmianyWartościNieruchomości)</f>
        <v/>
      </c>
      <c r="AG65" s="155">
        <f>IF(Tabela3[[#This Row],[Rok]]&gt;HoryzontInwestycyjny,0,IF(ZmianaWartościNieruchomości="bez zmian",AG64,IF(ZmianaWartościNieruchomości="inflacyjnie",AG64*(1+Tabela3[[#This Row],[Inflacja3]]),IF(ZmianaWartościNieruchomości="stały %",AG64*(1+Tabela3[[#This Row],[Stały % zmiany warrtości]]),IF(ZmianaWartościNieruchomości="stała kwota",AG64+AF65,AG64)))))</f>
        <v>0</v>
      </c>
      <c r="AH65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65" s="177" cm="1">
        <f t="array" ref="AI65">Tabela3[[#This Row],[Wynik z najmu netto rocznie]]/IF(CzyKredyt="Tak",WydanaGotówka2,WydanaGotówka1)</f>
        <v>0</v>
      </c>
      <c r="AJ65" s="177" cm="1">
        <f t="array" ref="AJ65">Tabela3[[#This Row],[Wynik z najmu netto rocznie]]/IF(CzyKredyt="Tak",SumaKosztówPoczątkowychInwestycji,SumaKosztów)</f>
        <v>0</v>
      </c>
      <c r="AK65" s="155" cm="1">
        <f t="array" ref="AK65">IF(Tabela3[[#This Row],[Rok]]&gt;HoryzontInwestycyjny,0,-IF(CzyKredyt="Tak",WydanaGotówka2,WydanaGotówka1)+Tabela3[[#This Row],[Skumulowany wynik z najmu netto z najmu]])</f>
        <v>0</v>
      </c>
    </row>
    <row r="66" spans="3:37">
      <c r="C66" s="158">
        <v>13</v>
      </c>
      <c r="D66" s="152">
        <f t="shared" si="0"/>
        <v>0.02</v>
      </c>
      <c r="E66" s="152">
        <f t="shared" si="1"/>
        <v>0.04</v>
      </c>
      <c r="F66" s="167">
        <f t="shared" si="2"/>
        <v>150</v>
      </c>
      <c r="G66" s="151">
        <f>IF(Tabela3[[#This Row],[Rok]]&gt;HoryzontInwestycyjny,0,IF(ZmianaOdstępnego="bez zmian",G65,IF(ZmianaOdstępnego="inflacyjnie",G65*(1+Wyniki2!$D66),IF(ZmianaOdstępnego="stały %",G65*(1+Wyniki2!$E66),IF(ZmianaOdstępnego="stała kwota",G65+Wyniki2!$F66,)))))</f>
        <v>0</v>
      </c>
      <c r="H66" s="165">
        <f>IF(Tabela3[[#This Row],[Rok]]&gt;HoryzontInwestycyjny,0,MAX(0, MiesiąceNajmu - MAX(0, MAX(IFERROR(IF(MOD($C66, MałyRemont) = 0,Czas_MałyRemont, 0),0),IFERROR(IF(MOD($C66,DużyRemont) = 0,Czas_DużyRemont, 0),0)) - (12 -MiesiąceNajmu))))</f>
        <v>0</v>
      </c>
      <c r="I66" s="166">
        <f t="shared" si="3"/>
        <v>0</v>
      </c>
      <c r="J66" s="152" t="str">
        <f>IF(Tabela3[[#This Row],[Rok]]&gt;HoryzontInwestycyjny,"",IF(ZmianaKosztów="TAK",Inflacja,0))</f>
        <v/>
      </c>
      <c r="K66" s="155"/>
      <c r="L66" s="155"/>
      <c r="M66" s="155"/>
      <c r="N66" s="171" cm="1">
        <f t="array" ref="N66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66" s="171" cm="1">
        <f t="array" ref="O66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66" s="155" cm="1">
        <f t="array" ref="P66">IF(Tabela3[[#This Row],[Rok]]&gt;HoryzontInwestycyjny,0,IF(12-Tabela3[[#This Row],[Liczba wynajętych miesięcy w roku]]&gt;0, (12-Tabela3[[#This Row],[Liczba wynajętych miesięcy w roku]]) *CzynszWspólnoty* IF(ZmianaKosztów="Tak", PRODUCT(1+J$54:INDEX($J$54:J66, ROWS($D$54:D66)-1)), 1), 0))</f>
        <v>0</v>
      </c>
      <c r="Q66" s="170">
        <f>IF(Tabela3[[#This Row],[Rok]]&gt;HoryzontInwestycyjny,0,SUMIF(Kredyt!$E:$E,Tabela3[[#This Row],[Rok]],Kredyt!$I:$I))</f>
        <v>0</v>
      </c>
      <c r="R66" s="171">
        <f>IF(Tabela3[[#This Row],[Rok]]&gt;HoryzontInwestycyjny,0,SUMIF(Kredyt!$E:$E,Tabela3[[#This Row],[Rok]],Kredyt!$J:$J))</f>
        <v>0</v>
      </c>
      <c r="S66" s="155">
        <f>Tabela3[[#This Row],[Rata kredytu: odsetki]]+Tabela3[[#This Row],[Rata kredytu: kapitał]]</f>
        <v>0</v>
      </c>
      <c r="T66" s="169" cm="1">
        <f t="array" ref="T66">IF(Tabela3[[#This Row],[Rok]]&gt;HoryzontInwestycyjny,0,IFERROR(INDEX(Kredyt!$M:$M,11+Tabela3[[#This Row],[Rok]]*12) * UbezŻyć,""))</f>
        <v>0</v>
      </c>
      <c r="U66" s="155" cm="1">
        <f t="array" ref="U66">IF(Tabela3[[#This Row],[Rok]]&gt;HoryzontInwestycyjny,0,IF(CzasKredytu&gt;=Tabela3[[#This Row],[Rok]],IF(ZmianaKosztów="Tak",UbezMiesz* PRODUCT(1+J66:J66), UbezMiesz),""))</f>
        <v>0</v>
      </c>
      <c r="V66" s="155" cm="1">
        <f t="array" ref="V66">IF(Tabela3[[#This Row],[Rok]]&gt;HoryzontInwestycyjny,0,IF(ZmianaKosztów="Tak", PodatekOdNieruchomości * PRODUCT(1+J$54:J65), PodNie))</f>
        <v>0</v>
      </c>
      <c r="W66" s="155">
        <f>KosztyZarządzania*Tabela3[[#This Row],[Przychody z wynajmu]]</f>
        <v>0</v>
      </c>
      <c r="X66" s="155" cm="1">
        <f t="array" ref="X66">IF(Tabela3[[#This Row],[Rok]]&gt;HoryzontInwestycyjny,0,IF(ZmianaKosztów="Tak", InneKosztyRocznie* PRODUCT(1+J$55:J66), InneKosztyRocznie))</f>
        <v>0</v>
      </c>
      <c r="Y66" s="155">
        <f>SUM(Tabela3[[#This Row],[Cena mieszkania + remont początkowy]:[Inne koszty]])-Tabela3[[#This Row],[Rata kredytu]]</f>
        <v>0</v>
      </c>
      <c r="Z66" s="155">
        <f>IF(Tabela3[[#This Row],[Przychody z wynajmu]]&lt;=100000, Tabela3[[#This Row],[Przychody z wynajmu]]*MałyPodatek, 100000*MałyPodatek + (Tabela3[[#This Row],[Przychody z wynajmu]]-100000)*DużyPodatek)</f>
        <v>0</v>
      </c>
      <c r="AA66" s="155">
        <f>Tabela3[[#This Row],[Wydatki związane z najmem całkowite]]+Tabela3[[#This Row],[Podatek od przychodu]]</f>
        <v>0</v>
      </c>
      <c r="AB66" s="155">
        <f>IF(Tabela3[[#This Row],[Rok]]&gt;HoryzontInwestycyjny,0,Tabela3[[#This Row],[Przychody z wynajmu]]-Tabela3[[#This Row],[Wydatki związane z najmem całkowite]]-Tabela3[[#This Row],[Podatek od przychodu]])</f>
        <v>0</v>
      </c>
      <c r="AC66" s="155">
        <f>IF(Tabela3[[#This Row],[Rok]]&gt;HoryzontInwestycyjny,0,AC65+Tabela3[[#This Row],[Wynik z najmu netto rocznie]])</f>
        <v>0</v>
      </c>
      <c r="AD66" s="176" t="str">
        <f>IF(Tabela3[[#This Row],[Rok]]&gt;HoryzontInwestycyjny,"",IF(ZmianaWartościNieruchomości="Inflacyjnie",Inflacja,0))</f>
        <v/>
      </c>
      <c r="AE66" s="177" t="str">
        <f>IF(Tabela3[[#This Row],[Rok]]&gt;HoryzontInwestycyjny,"",StałyProcentZmianyWartościNieruchomości)</f>
        <v/>
      </c>
      <c r="AF66" s="178" t="str">
        <f>IF(Tabela3[[#This Row],[Rok]]&gt;HoryzontInwestycyjny,"",StałaKwotaZmianyWartościNieruchomości)</f>
        <v/>
      </c>
      <c r="AG66" s="155">
        <f>IF(Tabela3[[#This Row],[Rok]]&gt;HoryzontInwestycyjny,0,IF(ZmianaWartościNieruchomości="bez zmian",AG65,IF(ZmianaWartościNieruchomości="inflacyjnie",AG65*(1+Tabela3[[#This Row],[Inflacja3]]),IF(ZmianaWartościNieruchomości="stały %",AG65*(1+Tabela3[[#This Row],[Stały % zmiany warrtości]]),IF(ZmianaWartościNieruchomości="stała kwota",AG65+AF66,AG65)))))</f>
        <v>0</v>
      </c>
      <c r="AH66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66" s="177" cm="1">
        <f t="array" ref="AI66">Tabela3[[#This Row],[Wynik z najmu netto rocznie]]/IF(CzyKredyt="Tak",WydanaGotówka2,WydanaGotówka1)</f>
        <v>0</v>
      </c>
      <c r="AJ66" s="177" cm="1">
        <f t="array" ref="AJ66">Tabela3[[#This Row],[Wynik z najmu netto rocznie]]/IF(CzyKredyt="Tak",SumaKosztówPoczątkowychInwestycji,SumaKosztów)</f>
        <v>0</v>
      </c>
      <c r="AK66" s="155" cm="1">
        <f t="array" ref="AK66">IF(Tabela3[[#This Row],[Rok]]&gt;HoryzontInwestycyjny,0,-IF(CzyKredyt="Tak",WydanaGotówka2,WydanaGotówka1)+Tabela3[[#This Row],[Skumulowany wynik z najmu netto z najmu]])</f>
        <v>0</v>
      </c>
    </row>
    <row r="67" spans="3:37">
      <c r="C67" s="158">
        <v>14</v>
      </c>
      <c r="D67" s="152">
        <f t="shared" si="0"/>
        <v>0.02</v>
      </c>
      <c r="E67" s="152">
        <f t="shared" si="1"/>
        <v>0.04</v>
      </c>
      <c r="F67" s="167">
        <f t="shared" si="2"/>
        <v>150</v>
      </c>
      <c r="G67" s="151">
        <f>IF(Tabela3[[#This Row],[Rok]]&gt;HoryzontInwestycyjny,0,IF(ZmianaOdstępnego="bez zmian",G66,IF(ZmianaOdstępnego="inflacyjnie",G66*(1+Wyniki2!$D67),IF(ZmianaOdstępnego="stały %",G66*(1+Wyniki2!$E67),IF(ZmianaOdstępnego="stała kwota",G66+Wyniki2!$F67,)))))</f>
        <v>0</v>
      </c>
      <c r="H67" s="165">
        <f>IF(Tabela3[[#This Row],[Rok]]&gt;HoryzontInwestycyjny,0,MAX(0, MiesiąceNajmu - MAX(0, MAX(IFERROR(IF(MOD($C67, MałyRemont) = 0,Czas_MałyRemont, 0),0),IFERROR(IF(MOD($C67,DużyRemont) = 0,Czas_DużyRemont, 0),0)) - (12 -MiesiąceNajmu))))</f>
        <v>0</v>
      </c>
      <c r="I67" s="166">
        <f t="shared" si="3"/>
        <v>0</v>
      </c>
      <c r="J67" s="152" t="str">
        <f>IF(Tabela3[[#This Row],[Rok]]&gt;HoryzontInwestycyjny,"",IF(ZmianaKosztów="TAK",Inflacja,0))</f>
        <v/>
      </c>
      <c r="K67" s="155"/>
      <c r="L67" s="155"/>
      <c r="M67" s="155"/>
      <c r="N67" s="171" cm="1">
        <f t="array" ref="N67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67" s="171" cm="1">
        <f t="array" ref="O67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67" s="155" cm="1">
        <f t="array" ref="P67">IF(Tabela3[[#This Row],[Rok]]&gt;HoryzontInwestycyjny,0,IF(12-Tabela3[[#This Row],[Liczba wynajętych miesięcy w roku]]&gt;0, (12-Tabela3[[#This Row],[Liczba wynajętych miesięcy w roku]]) *CzynszWspólnoty* IF(ZmianaKosztów="Tak", PRODUCT(1+J$54:INDEX($J$54:J67, ROWS($D$54:D67)-1)), 1), 0))</f>
        <v>0</v>
      </c>
      <c r="Q67" s="170">
        <f>IF(Tabela3[[#This Row],[Rok]]&gt;HoryzontInwestycyjny,0,SUMIF(Kredyt!$E:$E,Tabela3[[#This Row],[Rok]],Kredyt!$I:$I))</f>
        <v>0</v>
      </c>
      <c r="R67" s="171">
        <f>IF(Tabela3[[#This Row],[Rok]]&gt;HoryzontInwestycyjny,0,SUMIF(Kredyt!$E:$E,Tabela3[[#This Row],[Rok]],Kredyt!$J:$J))</f>
        <v>0</v>
      </c>
      <c r="S67" s="155">
        <f>Tabela3[[#This Row],[Rata kredytu: odsetki]]+Tabela3[[#This Row],[Rata kredytu: kapitał]]</f>
        <v>0</v>
      </c>
      <c r="T67" s="169" cm="1">
        <f t="array" ref="T67">IF(Tabela3[[#This Row],[Rok]]&gt;HoryzontInwestycyjny,0,IFERROR(INDEX(Kredyt!$M:$M,11+Tabela3[[#This Row],[Rok]]*12) * UbezŻyć,""))</f>
        <v>0</v>
      </c>
      <c r="U67" s="155" cm="1">
        <f t="array" ref="U67">IF(Tabela3[[#This Row],[Rok]]&gt;HoryzontInwestycyjny,0,IF(CzasKredytu&gt;=Tabela3[[#This Row],[Rok]],IF(ZmianaKosztów="Tak",UbezMiesz* PRODUCT(1+J67:J67), UbezMiesz),""))</f>
        <v>0</v>
      </c>
      <c r="V67" s="155" cm="1">
        <f t="array" ref="V67">IF(Tabela3[[#This Row],[Rok]]&gt;HoryzontInwestycyjny,0,IF(ZmianaKosztów="Tak", PodatekOdNieruchomości * PRODUCT(1+J$54:J66), PodNie))</f>
        <v>0</v>
      </c>
      <c r="W67" s="155">
        <f>KosztyZarządzania*Tabela3[[#This Row],[Przychody z wynajmu]]</f>
        <v>0</v>
      </c>
      <c r="X67" s="155" cm="1">
        <f t="array" ref="X67">IF(Tabela3[[#This Row],[Rok]]&gt;HoryzontInwestycyjny,0,IF(ZmianaKosztów="Tak", InneKosztyRocznie* PRODUCT(1+J$55:J67), InneKosztyRocznie))</f>
        <v>0</v>
      </c>
      <c r="Y67" s="155">
        <f>SUM(Tabela3[[#This Row],[Cena mieszkania + remont początkowy]:[Inne koszty]])-Tabela3[[#This Row],[Rata kredytu]]</f>
        <v>0</v>
      </c>
      <c r="Z67" s="155">
        <f>IF(Tabela3[[#This Row],[Przychody z wynajmu]]&lt;=100000, Tabela3[[#This Row],[Przychody z wynajmu]]*MałyPodatek, 100000*MałyPodatek + (Tabela3[[#This Row],[Przychody z wynajmu]]-100000)*DużyPodatek)</f>
        <v>0</v>
      </c>
      <c r="AA67" s="155">
        <f>Tabela3[[#This Row],[Wydatki związane z najmem całkowite]]+Tabela3[[#This Row],[Podatek od przychodu]]</f>
        <v>0</v>
      </c>
      <c r="AB67" s="155">
        <f>IF(Tabela3[[#This Row],[Rok]]&gt;HoryzontInwestycyjny,0,Tabela3[[#This Row],[Przychody z wynajmu]]-Tabela3[[#This Row],[Wydatki związane z najmem całkowite]]-Tabela3[[#This Row],[Podatek od przychodu]])</f>
        <v>0</v>
      </c>
      <c r="AC67" s="155">
        <f>IF(Tabela3[[#This Row],[Rok]]&gt;HoryzontInwestycyjny,0,AC66+Tabela3[[#This Row],[Wynik z najmu netto rocznie]])</f>
        <v>0</v>
      </c>
      <c r="AD67" s="176" t="str">
        <f>IF(Tabela3[[#This Row],[Rok]]&gt;HoryzontInwestycyjny,"",IF(ZmianaWartościNieruchomości="Inflacyjnie",Inflacja,0))</f>
        <v/>
      </c>
      <c r="AE67" s="177" t="str">
        <f>IF(Tabela3[[#This Row],[Rok]]&gt;HoryzontInwestycyjny,"",StałyProcentZmianyWartościNieruchomości)</f>
        <v/>
      </c>
      <c r="AF67" s="178" t="str">
        <f>IF(Tabela3[[#This Row],[Rok]]&gt;HoryzontInwestycyjny,"",StałaKwotaZmianyWartościNieruchomości)</f>
        <v/>
      </c>
      <c r="AG67" s="155">
        <f>IF(Tabela3[[#This Row],[Rok]]&gt;HoryzontInwestycyjny,0,IF(ZmianaWartościNieruchomości="bez zmian",AG66,IF(ZmianaWartościNieruchomości="inflacyjnie",AG66*(1+Tabela3[[#This Row],[Inflacja3]]),IF(ZmianaWartościNieruchomości="stały %",AG66*(1+Tabela3[[#This Row],[Stały % zmiany warrtości]]),IF(ZmianaWartościNieruchomości="stała kwota",AG66+AF67,AG66)))))</f>
        <v>0</v>
      </c>
      <c r="AH67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67" s="177" cm="1">
        <f t="array" ref="AI67">Tabela3[[#This Row],[Wynik z najmu netto rocznie]]/IF(CzyKredyt="Tak",WydanaGotówka2,WydanaGotówka1)</f>
        <v>0</v>
      </c>
      <c r="AJ67" s="177" cm="1">
        <f t="array" ref="AJ67">Tabela3[[#This Row],[Wynik z najmu netto rocznie]]/IF(CzyKredyt="Tak",SumaKosztówPoczątkowychInwestycji,SumaKosztów)</f>
        <v>0</v>
      </c>
      <c r="AK67" s="155" cm="1">
        <f t="array" ref="AK67">IF(Tabela3[[#This Row],[Rok]]&gt;HoryzontInwestycyjny,0,-IF(CzyKredyt="Tak",WydanaGotówka2,WydanaGotówka1)+Tabela3[[#This Row],[Skumulowany wynik z najmu netto z najmu]])</f>
        <v>0</v>
      </c>
    </row>
    <row r="68" spans="3:37">
      <c r="C68" s="158">
        <v>15</v>
      </c>
      <c r="D68" s="152">
        <f t="shared" si="0"/>
        <v>0.02</v>
      </c>
      <c r="E68" s="152">
        <f t="shared" si="1"/>
        <v>0.04</v>
      </c>
      <c r="F68" s="167">
        <f t="shared" si="2"/>
        <v>150</v>
      </c>
      <c r="G68" s="151">
        <f>IF(Tabela3[[#This Row],[Rok]]&gt;HoryzontInwestycyjny,0,IF(ZmianaOdstępnego="bez zmian",G67,IF(ZmianaOdstępnego="inflacyjnie",G67*(1+Wyniki2!$D68),IF(ZmianaOdstępnego="stały %",G67*(1+Wyniki2!$E68),IF(ZmianaOdstępnego="stała kwota",G67+Wyniki2!$F68,)))))</f>
        <v>0</v>
      </c>
      <c r="H68" s="165">
        <f>IF(Tabela3[[#This Row],[Rok]]&gt;HoryzontInwestycyjny,0,MAX(0, MiesiąceNajmu - MAX(0, MAX(IFERROR(IF(MOD($C68, MałyRemont) = 0,Czas_MałyRemont, 0),0),IFERROR(IF(MOD($C68,DużyRemont) = 0,Czas_DużyRemont, 0),0)) - (12 -MiesiąceNajmu))))</f>
        <v>0</v>
      </c>
      <c r="I68" s="166">
        <f t="shared" si="3"/>
        <v>0</v>
      </c>
      <c r="J68" s="152" t="str">
        <f>IF(Tabela3[[#This Row],[Rok]]&gt;HoryzontInwestycyjny,"",IF(ZmianaKosztów="TAK",Inflacja,0))</f>
        <v/>
      </c>
      <c r="K68" s="155"/>
      <c r="L68" s="155"/>
      <c r="M68" s="155"/>
      <c r="N68" s="171" cm="1">
        <f t="array" ref="N68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68" s="171" cm="1">
        <f t="array" ref="O68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68" s="155" cm="1">
        <f t="array" ref="P68">IF(Tabela3[[#This Row],[Rok]]&gt;HoryzontInwestycyjny,0,IF(12-Tabela3[[#This Row],[Liczba wynajętych miesięcy w roku]]&gt;0, (12-Tabela3[[#This Row],[Liczba wynajętych miesięcy w roku]]) *CzynszWspólnoty* IF(ZmianaKosztów="Tak", PRODUCT(1+J$54:INDEX($J$54:J68, ROWS($D$54:D68)-1)), 1), 0))</f>
        <v>0</v>
      </c>
      <c r="Q68" s="170">
        <f>IF(Tabela3[[#This Row],[Rok]]&gt;HoryzontInwestycyjny,0,SUMIF(Kredyt!$E:$E,Tabela3[[#This Row],[Rok]],Kredyt!$I:$I))</f>
        <v>0</v>
      </c>
      <c r="R68" s="171">
        <f>IF(Tabela3[[#This Row],[Rok]]&gt;HoryzontInwestycyjny,0,SUMIF(Kredyt!$E:$E,Tabela3[[#This Row],[Rok]],Kredyt!$J:$J))</f>
        <v>0</v>
      </c>
      <c r="S68" s="155">
        <f>Tabela3[[#This Row],[Rata kredytu: odsetki]]+Tabela3[[#This Row],[Rata kredytu: kapitał]]</f>
        <v>0</v>
      </c>
      <c r="T68" s="169" cm="1">
        <f t="array" ref="T68">IF(Tabela3[[#This Row],[Rok]]&gt;HoryzontInwestycyjny,0,IFERROR(INDEX(Kredyt!$M:$M,11+Tabela3[[#This Row],[Rok]]*12) * UbezŻyć,""))</f>
        <v>0</v>
      </c>
      <c r="U68" s="155" cm="1">
        <f t="array" ref="U68">IF(Tabela3[[#This Row],[Rok]]&gt;HoryzontInwestycyjny,0,IF(CzasKredytu&gt;=Tabela3[[#This Row],[Rok]],IF(ZmianaKosztów="Tak",UbezMiesz* PRODUCT(1+J68:J68), UbezMiesz),""))</f>
        <v>0</v>
      </c>
      <c r="V68" s="155" cm="1">
        <f t="array" ref="V68">IF(Tabela3[[#This Row],[Rok]]&gt;HoryzontInwestycyjny,0,IF(ZmianaKosztów="Tak", PodatekOdNieruchomości * PRODUCT(1+J$54:J67), PodNie))</f>
        <v>0</v>
      </c>
      <c r="W68" s="155">
        <f>KosztyZarządzania*Tabela3[[#This Row],[Przychody z wynajmu]]</f>
        <v>0</v>
      </c>
      <c r="X68" s="155" cm="1">
        <f t="array" ref="X68">IF(Tabela3[[#This Row],[Rok]]&gt;HoryzontInwestycyjny,0,IF(ZmianaKosztów="Tak", InneKosztyRocznie* PRODUCT(1+J$55:J68), InneKosztyRocznie))</f>
        <v>0</v>
      </c>
      <c r="Y68" s="155">
        <f>SUM(Tabela3[[#This Row],[Cena mieszkania + remont początkowy]:[Inne koszty]])-Tabela3[[#This Row],[Rata kredytu]]</f>
        <v>0</v>
      </c>
      <c r="Z68" s="155">
        <f>IF(Tabela3[[#This Row],[Przychody z wynajmu]]&lt;=100000, Tabela3[[#This Row],[Przychody z wynajmu]]*MałyPodatek, 100000*MałyPodatek + (Tabela3[[#This Row],[Przychody z wynajmu]]-100000)*DużyPodatek)</f>
        <v>0</v>
      </c>
      <c r="AA68" s="155">
        <f>Tabela3[[#This Row],[Wydatki związane z najmem całkowite]]+Tabela3[[#This Row],[Podatek od przychodu]]</f>
        <v>0</v>
      </c>
      <c r="AB68" s="155">
        <f>IF(Tabela3[[#This Row],[Rok]]&gt;HoryzontInwestycyjny,0,Tabela3[[#This Row],[Przychody z wynajmu]]-Tabela3[[#This Row],[Wydatki związane z najmem całkowite]]-Tabela3[[#This Row],[Podatek od przychodu]])</f>
        <v>0</v>
      </c>
      <c r="AC68" s="155">
        <f>IF(Tabela3[[#This Row],[Rok]]&gt;HoryzontInwestycyjny,0,AC67+Tabela3[[#This Row],[Wynik z najmu netto rocznie]])</f>
        <v>0</v>
      </c>
      <c r="AD68" s="176" t="str">
        <f>IF(Tabela3[[#This Row],[Rok]]&gt;HoryzontInwestycyjny,"",IF(ZmianaWartościNieruchomości="Inflacyjnie",Inflacja,0))</f>
        <v/>
      </c>
      <c r="AE68" s="177" t="str">
        <f>IF(Tabela3[[#This Row],[Rok]]&gt;HoryzontInwestycyjny,"",StałyProcentZmianyWartościNieruchomości)</f>
        <v/>
      </c>
      <c r="AF68" s="178" t="str">
        <f>IF(Tabela3[[#This Row],[Rok]]&gt;HoryzontInwestycyjny,"",StałaKwotaZmianyWartościNieruchomości)</f>
        <v/>
      </c>
      <c r="AG68" s="155">
        <f>IF(Tabela3[[#This Row],[Rok]]&gt;HoryzontInwestycyjny,0,IF(ZmianaWartościNieruchomości="bez zmian",AG67,IF(ZmianaWartościNieruchomości="inflacyjnie",AG67*(1+Tabela3[[#This Row],[Inflacja3]]),IF(ZmianaWartościNieruchomości="stały %",AG67*(1+Tabela3[[#This Row],[Stały % zmiany warrtości]]),IF(ZmianaWartościNieruchomości="stała kwota",AG67+AF68,AG67)))))</f>
        <v>0</v>
      </c>
      <c r="AH68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68" s="177" cm="1">
        <f t="array" ref="AI68">Tabela3[[#This Row],[Wynik z najmu netto rocznie]]/IF(CzyKredyt="Tak",WydanaGotówka2,WydanaGotówka1)</f>
        <v>0</v>
      </c>
      <c r="AJ68" s="177" cm="1">
        <f t="array" ref="AJ68">Tabela3[[#This Row],[Wynik z najmu netto rocznie]]/IF(CzyKredyt="Tak",SumaKosztówPoczątkowychInwestycji,SumaKosztów)</f>
        <v>0</v>
      </c>
      <c r="AK68" s="155" cm="1">
        <f t="array" ref="AK68">IF(Tabela3[[#This Row],[Rok]]&gt;HoryzontInwestycyjny,0,-IF(CzyKredyt="Tak",WydanaGotówka2,WydanaGotówka1)+Tabela3[[#This Row],[Skumulowany wynik z najmu netto z najmu]])</f>
        <v>0</v>
      </c>
    </row>
    <row r="69" spans="3:37">
      <c r="C69" s="158">
        <v>16</v>
      </c>
      <c r="D69" s="152">
        <f t="shared" si="0"/>
        <v>0.02</v>
      </c>
      <c r="E69" s="152">
        <f t="shared" si="1"/>
        <v>0.04</v>
      </c>
      <c r="F69" s="167">
        <f t="shared" si="2"/>
        <v>150</v>
      </c>
      <c r="G69" s="151">
        <f>IF(Tabela3[[#This Row],[Rok]]&gt;HoryzontInwestycyjny,0,IF(ZmianaOdstępnego="bez zmian",G68,IF(ZmianaOdstępnego="inflacyjnie",G68*(1+Wyniki2!$D69),IF(ZmianaOdstępnego="stały %",G68*(1+Wyniki2!$E69),IF(ZmianaOdstępnego="stała kwota",G68+Wyniki2!$F69,)))))</f>
        <v>0</v>
      </c>
      <c r="H69" s="165">
        <f>IF(Tabela3[[#This Row],[Rok]]&gt;HoryzontInwestycyjny,0,MAX(0, MiesiąceNajmu - MAX(0, MAX(IFERROR(IF(MOD($C69, MałyRemont) = 0,Czas_MałyRemont, 0),0),IFERROR(IF(MOD($C69,DużyRemont) = 0,Czas_DużyRemont, 0),0)) - (12 -MiesiąceNajmu))))</f>
        <v>0</v>
      </c>
      <c r="I69" s="166">
        <f t="shared" si="3"/>
        <v>0</v>
      </c>
      <c r="J69" s="152" t="str">
        <f>IF(Tabela3[[#This Row],[Rok]]&gt;HoryzontInwestycyjny,"",IF(ZmianaKosztów="TAK",Inflacja,0))</f>
        <v/>
      </c>
      <c r="K69" s="155"/>
      <c r="L69" s="155"/>
      <c r="M69" s="155"/>
      <c r="N69" s="171" cm="1">
        <f t="array" ref="N69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69" s="171" cm="1">
        <f t="array" ref="O69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69" s="155" cm="1">
        <f t="array" ref="P69">IF(Tabela3[[#This Row],[Rok]]&gt;HoryzontInwestycyjny,0,IF(12-Tabela3[[#This Row],[Liczba wynajętych miesięcy w roku]]&gt;0, (12-Tabela3[[#This Row],[Liczba wynajętych miesięcy w roku]]) *CzynszWspólnoty* IF(ZmianaKosztów="Tak", PRODUCT(1+J$54:INDEX($J$54:J69, ROWS($D$54:D69)-1)), 1), 0))</f>
        <v>0</v>
      </c>
      <c r="Q69" s="170">
        <f>IF(Tabela3[[#This Row],[Rok]]&gt;HoryzontInwestycyjny,0,SUMIF(Kredyt!$E:$E,Tabela3[[#This Row],[Rok]],Kredyt!$I:$I))</f>
        <v>0</v>
      </c>
      <c r="R69" s="171">
        <f>IF(Tabela3[[#This Row],[Rok]]&gt;HoryzontInwestycyjny,0,SUMIF(Kredyt!$E:$E,Tabela3[[#This Row],[Rok]],Kredyt!$J:$J))</f>
        <v>0</v>
      </c>
      <c r="S69" s="155">
        <f>Tabela3[[#This Row],[Rata kredytu: odsetki]]+Tabela3[[#This Row],[Rata kredytu: kapitał]]</f>
        <v>0</v>
      </c>
      <c r="T69" s="169" cm="1">
        <f t="array" ref="T69">IF(Tabela3[[#This Row],[Rok]]&gt;HoryzontInwestycyjny,0,IFERROR(INDEX(Kredyt!$M:$M,11+Tabela3[[#This Row],[Rok]]*12) * UbezŻyć,""))</f>
        <v>0</v>
      </c>
      <c r="U69" s="155" cm="1">
        <f t="array" ref="U69">IF(Tabela3[[#This Row],[Rok]]&gt;HoryzontInwestycyjny,0,IF(CzasKredytu&gt;=Tabela3[[#This Row],[Rok]],IF(ZmianaKosztów="Tak",UbezMiesz* PRODUCT(1+J69:J69), UbezMiesz),""))</f>
        <v>0</v>
      </c>
      <c r="V69" s="155" cm="1">
        <f t="array" ref="V69">IF(Tabela3[[#This Row],[Rok]]&gt;HoryzontInwestycyjny,0,IF(ZmianaKosztów="Tak", PodatekOdNieruchomości * PRODUCT(1+J$54:J68), PodNie))</f>
        <v>0</v>
      </c>
      <c r="W69" s="155">
        <f>KosztyZarządzania*Tabela3[[#This Row],[Przychody z wynajmu]]</f>
        <v>0</v>
      </c>
      <c r="X69" s="155" cm="1">
        <f t="array" ref="X69">IF(Tabela3[[#This Row],[Rok]]&gt;HoryzontInwestycyjny,0,IF(ZmianaKosztów="Tak", InneKosztyRocznie* PRODUCT(1+J$55:J69), InneKosztyRocznie))</f>
        <v>0</v>
      </c>
      <c r="Y69" s="155">
        <f>SUM(Tabela3[[#This Row],[Cena mieszkania + remont początkowy]:[Inne koszty]])-Tabela3[[#This Row],[Rata kredytu]]</f>
        <v>0</v>
      </c>
      <c r="Z69" s="155">
        <f>IF(Tabela3[[#This Row],[Przychody z wynajmu]]&lt;=100000, Tabela3[[#This Row],[Przychody z wynajmu]]*MałyPodatek, 100000*MałyPodatek + (Tabela3[[#This Row],[Przychody z wynajmu]]-100000)*DużyPodatek)</f>
        <v>0</v>
      </c>
      <c r="AA69" s="155">
        <f>Tabela3[[#This Row],[Wydatki związane z najmem całkowite]]+Tabela3[[#This Row],[Podatek od przychodu]]</f>
        <v>0</v>
      </c>
      <c r="AB69" s="155">
        <f>IF(Tabela3[[#This Row],[Rok]]&gt;HoryzontInwestycyjny,0,Tabela3[[#This Row],[Przychody z wynajmu]]-Tabela3[[#This Row],[Wydatki związane z najmem całkowite]]-Tabela3[[#This Row],[Podatek od przychodu]])</f>
        <v>0</v>
      </c>
      <c r="AC69" s="155">
        <f>IF(Tabela3[[#This Row],[Rok]]&gt;HoryzontInwestycyjny,0,AC68+Tabela3[[#This Row],[Wynik z najmu netto rocznie]])</f>
        <v>0</v>
      </c>
      <c r="AD69" s="176" t="str">
        <f>IF(Tabela3[[#This Row],[Rok]]&gt;HoryzontInwestycyjny,"",IF(ZmianaWartościNieruchomości="Inflacyjnie",Inflacja,0))</f>
        <v/>
      </c>
      <c r="AE69" s="177" t="str">
        <f>IF(Tabela3[[#This Row],[Rok]]&gt;HoryzontInwestycyjny,"",StałyProcentZmianyWartościNieruchomości)</f>
        <v/>
      </c>
      <c r="AF69" s="178" t="str">
        <f>IF(Tabela3[[#This Row],[Rok]]&gt;HoryzontInwestycyjny,"",StałaKwotaZmianyWartościNieruchomości)</f>
        <v/>
      </c>
      <c r="AG69" s="155">
        <f>IF(Tabela3[[#This Row],[Rok]]&gt;HoryzontInwestycyjny,0,IF(ZmianaWartościNieruchomości="bez zmian",AG68,IF(ZmianaWartościNieruchomości="inflacyjnie",AG68*(1+Tabela3[[#This Row],[Inflacja3]]),IF(ZmianaWartościNieruchomości="stały %",AG68*(1+Tabela3[[#This Row],[Stały % zmiany warrtości]]),IF(ZmianaWartościNieruchomości="stała kwota",AG68+AF69,AG68)))))</f>
        <v>0</v>
      </c>
      <c r="AH69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69" s="177" cm="1">
        <f t="array" ref="AI69">Tabela3[[#This Row],[Wynik z najmu netto rocznie]]/IF(CzyKredyt="Tak",WydanaGotówka2,WydanaGotówka1)</f>
        <v>0</v>
      </c>
      <c r="AJ69" s="177" cm="1">
        <f t="array" ref="AJ69">Tabela3[[#This Row],[Wynik z najmu netto rocznie]]/IF(CzyKredyt="Tak",SumaKosztówPoczątkowychInwestycji,SumaKosztów)</f>
        <v>0</v>
      </c>
      <c r="AK69" s="155" cm="1">
        <f t="array" ref="AK69">IF(Tabela3[[#This Row],[Rok]]&gt;HoryzontInwestycyjny,0,-IF(CzyKredyt="Tak",WydanaGotówka2,WydanaGotówka1)+Tabela3[[#This Row],[Skumulowany wynik z najmu netto z najmu]])</f>
        <v>0</v>
      </c>
    </row>
    <row r="70" spans="3:37">
      <c r="C70" s="158">
        <v>17</v>
      </c>
      <c r="D70" s="152">
        <f t="shared" si="0"/>
        <v>0.02</v>
      </c>
      <c r="E70" s="152">
        <f t="shared" si="1"/>
        <v>0.04</v>
      </c>
      <c r="F70" s="167">
        <f t="shared" si="2"/>
        <v>150</v>
      </c>
      <c r="G70" s="151">
        <f>IF(Tabela3[[#This Row],[Rok]]&gt;HoryzontInwestycyjny,0,IF(ZmianaOdstępnego="bez zmian",G69,IF(ZmianaOdstępnego="inflacyjnie",G69*(1+Wyniki2!$D70),IF(ZmianaOdstępnego="stały %",G69*(1+Wyniki2!$E70),IF(ZmianaOdstępnego="stała kwota",G69+Wyniki2!$F70,)))))</f>
        <v>0</v>
      </c>
      <c r="H70" s="165">
        <f>IF(Tabela3[[#This Row],[Rok]]&gt;HoryzontInwestycyjny,0,MAX(0, MiesiąceNajmu - MAX(0, MAX(IFERROR(IF(MOD($C70, MałyRemont) = 0,Czas_MałyRemont, 0),0),IFERROR(IF(MOD($C70,DużyRemont) = 0,Czas_DużyRemont, 0),0)) - (12 -MiesiąceNajmu))))</f>
        <v>0</v>
      </c>
      <c r="I70" s="166">
        <f t="shared" si="3"/>
        <v>0</v>
      </c>
      <c r="J70" s="152" t="str">
        <f>IF(Tabela3[[#This Row],[Rok]]&gt;HoryzontInwestycyjny,"",IF(ZmianaKosztów="TAK",Inflacja,0))</f>
        <v/>
      </c>
      <c r="K70" s="155"/>
      <c r="L70" s="155"/>
      <c r="M70" s="155"/>
      <c r="N70" s="171" cm="1">
        <f t="array" ref="N70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70" s="171" cm="1">
        <f t="array" ref="O70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70" s="155" cm="1">
        <f t="array" ref="P70">IF(Tabela3[[#This Row],[Rok]]&gt;HoryzontInwestycyjny,0,IF(12-Tabela3[[#This Row],[Liczba wynajętych miesięcy w roku]]&gt;0, (12-Tabela3[[#This Row],[Liczba wynajętych miesięcy w roku]]) *CzynszWspólnoty* IF(ZmianaKosztów="Tak", PRODUCT(1+J$54:INDEX($J$54:J70, ROWS($D$54:D70)-1)), 1), 0))</f>
        <v>0</v>
      </c>
      <c r="Q70" s="170">
        <f>IF(Tabela3[[#This Row],[Rok]]&gt;HoryzontInwestycyjny,0,SUMIF(Kredyt!$E:$E,Tabela3[[#This Row],[Rok]],Kredyt!$I:$I))</f>
        <v>0</v>
      </c>
      <c r="R70" s="171">
        <f>IF(Tabela3[[#This Row],[Rok]]&gt;HoryzontInwestycyjny,0,SUMIF(Kredyt!$E:$E,Tabela3[[#This Row],[Rok]],Kredyt!$J:$J))</f>
        <v>0</v>
      </c>
      <c r="S70" s="155">
        <f>Tabela3[[#This Row],[Rata kredytu: odsetki]]+Tabela3[[#This Row],[Rata kredytu: kapitał]]</f>
        <v>0</v>
      </c>
      <c r="T70" s="169" cm="1">
        <f t="array" ref="T70">IF(Tabela3[[#This Row],[Rok]]&gt;HoryzontInwestycyjny,0,IFERROR(INDEX(Kredyt!$M:$M,11+Tabela3[[#This Row],[Rok]]*12) * UbezŻyć,""))</f>
        <v>0</v>
      </c>
      <c r="U70" s="155" cm="1">
        <f t="array" ref="U70">IF(Tabela3[[#This Row],[Rok]]&gt;HoryzontInwestycyjny,0,IF(CzasKredytu&gt;=Tabela3[[#This Row],[Rok]],IF(ZmianaKosztów="Tak",UbezMiesz* PRODUCT(1+J70:J70), UbezMiesz),""))</f>
        <v>0</v>
      </c>
      <c r="V70" s="155" cm="1">
        <f t="array" ref="V70">IF(Tabela3[[#This Row],[Rok]]&gt;HoryzontInwestycyjny,0,IF(ZmianaKosztów="Tak", PodatekOdNieruchomości * PRODUCT(1+J$54:J69), PodNie))</f>
        <v>0</v>
      </c>
      <c r="W70" s="155">
        <f>KosztyZarządzania*Tabela3[[#This Row],[Przychody z wynajmu]]</f>
        <v>0</v>
      </c>
      <c r="X70" s="155" cm="1">
        <f t="array" ref="X70">IF(Tabela3[[#This Row],[Rok]]&gt;HoryzontInwestycyjny,0,IF(ZmianaKosztów="Tak", InneKosztyRocznie* PRODUCT(1+J$55:J70), InneKosztyRocznie))</f>
        <v>0</v>
      </c>
      <c r="Y70" s="155">
        <f>SUM(Tabela3[[#This Row],[Cena mieszkania + remont początkowy]:[Inne koszty]])-Tabela3[[#This Row],[Rata kredytu]]</f>
        <v>0</v>
      </c>
      <c r="Z70" s="155">
        <f>IF(Tabela3[[#This Row],[Przychody z wynajmu]]&lt;=100000, Tabela3[[#This Row],[Przychody z wynajmu]]*MałyPodatek, 100000*MałyPodatek + (Tabela3[[#This Row],[Przychody z wynajmu]]-100000)*DużyPodatek)</f>
        <v>0</v>
      </c>
      <c r="AA70" s="155">
        <f>Tabela3[[#This Row],[Wydatki związane z najmem całkowite]]+Tabela3[[#This Row],[Podatek od przychodu]]</f>
        <v>0</v>
      </c>
      <c r="AB70" s="155">
        <f>IF(Tabela3[[#This Row],[Rok]]&gt;HoryzontInwestycyjny,0,Tabela3[[#This Row],[Przychody z wynajmu]]-Tabela3[[#This Row],[Wydatki związane z najmem całkowite]]-Tabela3[[#This Row],[Podatek od przychodu]])</f>
        <v>0</v>
      </c>
      <c r="AC70" s="155">
        <f>IF(Tabela3[[#This Row],[Rok]]&gt;HoryzontInwestycyjny,0,AC69+Tabela3[[#This Row],[Wynik z najmu netto rocznie]])</f>
        <v>0</v>
      </c>
      <c r="AD70" s="176" t="str">
        <f>IF(Tabela3[[#This Row],[Rok]]&gt;HoryzontInwestycyjny,"",IF(ZmianaWartościNieruchomości="Inflacyjnie",Inflacja,0))</f>
        <v/>
      </c>
      <c r="AE70" s="177" t="str">
        <f>IF(Tabela3[[#This Row],[Rok]]&gt;HoryzontInwestycyjny,"",StałyProcentZmianyWartościNieruchomości)</f>
        <v/>
      </c>
      <c r="AF70" s="178" t="str">
        <f>IF(Tabela3[[#This Row],[Rok]]&gt;HoryzontInwestycyjny,"",StałaKwotaZmianyWartościNieruchomości)</f>
        <v/>
      </c>
      <c r="AG70" s="155">
        <f>IF(Tabela3[[#This Row],[Rok]]&gt;HoryzontInwestycyjny,0,IF(ZmianaWartościNieruchomości="bez zmian",AG69,IF(ZmianaWartościNieruchomości="inflacyjnie",AG69*(1+Tabela3[[#This Row],[Inflacja3]]),IF(ZmianaWartościNieruchomości="stały %",AG69*(1+Tabela3[[#This Row],[Stały % zmiany warrtości]]),IF(ZmianaWartościNieruchomości="stała kwota",AG69+AF70,AG69)))))</f>
        <v>0</v>
      </c>
      <c r="AH70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70" s="177" cm="1">
        <f t="array" ref="AI70">Tabela3[[#This Row],[Wynik z najmu netto rocznie]]/IF(CzyKredyt="Tak",WydanaGotówka2,WydanaGotówka1)</f>
        <v>0</v>
      </c>
      <c r="AJ70" s="177" cm="1">
        <f t="array" ref="AJ70">Tabela3[[#This Row],[Wynik z najmu netto rocznie]]/IF(CzyKredyt="Tak",SumaKosztówPoczątkowychInwestycji,SumaKosztów)</f>
        <v>0</v>
      </c>
      <c r="AK70" s="155" cm="1">
        <f t="array" ref="AK70">IF(Tabela3[[#This Row],[Rok]]&gt;HoryzontInwestycyjny,0,-IF(CzyKredyt="Tak",WydanaGotówka2,WydanaGotówka1)+Tabela3[[#This Row],[Skumulowany wynik z najmu netto z najmu]])</f>
        <v>0</v>
      </c>
    </row>
    <row r="71" spans="3:37">
      <c r="C71" s="158">
        <v>18</v>
      </c>
      <c r="D71" s="152">
        <f t="shared" si="0"/>
        <v>0.02</v>
      </c>
      <c r="E71" s="152">
        <f t="shared" si="1"/>
        <v>0.04</v>
      </c>
      <c r="F71" s="167">
        <f t="shared" si="2"/>
        <v>150</v>
      </c>
      <c r="G71" s="151">
        <f>IF(Tabela3[[#This Row],[Rok]]&gt;HoryzontInwestycyjny,0,IF(ZmianaOdstępnego="bez zmian",G70,IF(ZmianaOdstępnego="inflacyjnie",G70*(1+Wyniki2!$D71),IF(ZmianaOdstępnego="stały %",G70*(1+Wyniki2!$E71),IF(ZmianaOdstępnego="stała kwota",G70+Wyniki2!$F71,)))))</f>
        <v>0</v>
      </c>
      <c r="H71" s="165">
        <f>IF(Tabela3[[#This Row],[Rok]]&gt;HoryzontInwestycyjny,0,MAX(0, MiesiąceNajmu - MAX(0, MAX(IFERROR(IF(MOD($C71, MałyRemont) = 0,Czas_MałyRemont, 0),0),IFERROR(IF(MOD($C71,DużyRemont) = 0,Czas_DużyRemont, 0),0)) - (12 -MiesiąceNajmu))))</f>
        <v>0</v>
      </c>
      <c r="I71" s="166">
        <f t="shared" si="3"/>
        <v>0</v>
      </c>
      <c r="J71" s="152" t="str">
        <f>IF(Tabela3[[#This Row],[Rok]]&gt;HoryzontInwestycyjny,"",IF(ZmianaKosztów="TAK",Inflacja,0))</f>
        <v/>
      </c>
      <c r="K71" s="155"/>
      <c r="L71" s="155"/>
      <c r="M71" s="155"/>
      <c r="N71" s="171" cm="1">
        <f t="array" ref="N71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71" s="171" cm="1">
        <f t="array" ref="O71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71" s="155" cm="1">
        <f t="array" ref="P71">IF(Tabela3[[#This Row],[Rok]]&gt;HoryzontInwestycyjny,0,IF(12-Tabela3[[#This Row],[Liczba wynajętych miesięcy w roku]]&gt;0, (12-Tabela3[[#This Row],[Liczba wynajętych miesięcy w roku]]) *CzynszWspólnoty* IF(ZmianaKosztów="Tak", PRODUCT(1+J$54:INDEX($J$54:J71, ROWS($D$54:D71)-1)), 1), 0))</f>
        <v>0</v>
      </c>
      <c r="Q71" s="170">
        <f>IF(Tabela3[[#This Row],[Rok]]&gt;HoryzontInwestycyjny,0,SUMIF(Kredyt!$E:$E,Tabela3[[#This Row],[Rok]],Kredyt!$I:$I))</f>
        <v>0</v>
      </c>
      <c r="R71" s="171">
        <f>IF(Tabela3[[#This Row],[Rok]]&gt;HoryzontInwestycyjny,0,SUMIF(Kredyt!$E:$E,Tabela3[[#This Row],[Rok]],Kredyt!$J:$J))</f>
        <v>0</v>
      </c>
      <c r="S71" s="155">
        <f>Tabela3[[#This Row],[Rata kredytu: odsetki]]+Tabela3[[#This Row],[Rata kredytu: kapitał]]</f>
        <v>0</v>
      </c>
      <c r="T71" s="169" cm="1">
        <f t="array" ref="T71">IF(Tabela3[[#This Row],[Rok]]&gt;HoryzontInwestycyjny,0,IFERROR(INDEX(Kredyt!$M:$M,11+Tabela3[[#This Row],[Rok]]*12) * UbezŻyć,""))</f>
        <v>0</v>
      </c>
      <c r="U71" s="155" cm="1">
        <f t="array" ref="U71">IF(Tabela3[[#This Row],[Rok]]&gt;HoryzontInwestycyjny,0,IF(CzasKredytu&gt;=Tabela3[[#This Row],[Rok]],IF(ZmianaKosztów="Tak",UbezMiesz* PRODUCT(1+J71:J71), UbezMiesz),""))</f>
        <v>0</v>
      </c>
      <c r="V71" s="155" cm="1">
        <f t="array" ref="V71">IF(Tabela3[[#This Row],[Rok]]&gt;HoryzontInwestycyjny,0,IF(ZmianaKosztów="Tak", PodatekOdNieruchomości * PRODUCT(1+J$54:J70), PodNie))</f>
        <v>0</v>
      </c>
      <c r="W71" s="155">
        <f>KosztyZarządzania*Tabela3[[#This Row],[Przychody z wynajmu]]</f>
        <v>0</v>
      </c>
      <c r="X71" s="155" cm="1">
        <f t="array" ref="X71">IF(Tabela3[[#This Row],[Rok]]&gt;HoryzontInwestycyjny,0,IF(ZmianaKosztów="Tak", InneKosztyRocznie* PRODUCT(1+J$55:J71), InneKosztyRocznie))</f>
        <v>0</v>
      </c>
      <c r="Y71" s="155">
        <f>SUM(Tabela3[[#This Row],[Cena mieszkania + remont początkowy]:[Inne koszty]])-Tabela3[[#This Row],[Rata kredytu]]</f>
        <v>0</v>
      </c>
      <c r="Z71" s="155">
        <f>IF(Tabela3[[#This Row],[Przychody z wynajmu]]&lt;=100000, Tabela3[[#This Row],[Przychody z wynajmu]]*MałyPodatek, 100000*MałyPodatek + (Tabela3[[#This Row],[Przychody z wynajmu]]-100000)*DużyPodatek)</f>
        <v>0</v>
      </c>
      <c r="AA71" s="155">
        <f>Tabela3[[#This Row],[Wydatki związane z najmem całkowite]]+Tabela3[[#This Row],[Podatek od przychodu]]</f>
        <v>0</v>
      </c>
      <c r="AB71" s="155">
        <f>IF(Tabela3[[#This Row],[Rok]]&gt;HoryzontInwestycyjny,0,Tabela3[[#This Row],[Przychody z wynajmu]]-Tabela3[[#This Row],[Wydatki związane z najmem całkowite]]-Tabela3[[#This Row],[Podatek od przychodu]])</f>
        <v>0</v>
      </c>
      <c r="AC71" s="155">
        <f>IF(Tabela3[[#This Row],[Rok]]&gt;HoryzontInwestycyjny,0,AC70+Tabela3[[#This Row],[Wynik z najmu netto rocznie]])</f>
        <v>0</v>
      </c>
      <c r="AD71" s="176" t="str">
        <f>IF(Tabela3[[#This Row],[Rok]]&gt;HoryzontInwestycyjny,"",IF(ZmianaWartościNieruchomości="Inflacyjnie",Inflacja,0))</f>
        <v/>
      </c>
      <c r="AE71" s="177" t="str">
        <f>IF(Tabela3[[#This Row],[Rok]]&gt;HoryzontInwestycyjny,"",StałyProcentZmianyWartościNieruchomości)</f>
        <v/>
      </c>
      <c r="AF71" s="178" t="str">
        <f>IF(Tabela3[[#This Row],[Rok]]&gt;HoryzontInwestycyjny,"",StałaKwotaZmianyWartościNieruchomości)</f>
        <v/>
      </c>
      <c r="AG71" s="155">
        <f>IF(Tabela3[[#This Row],[Rok]]&gt;HoryzontInwestycyjny,0,IF(ZmianaWartościNieruchomości="bez zmian",AG70,IF(ZmianaWartościNieruchomości="inflacyjnie",AG70*(1+Tabela3[[#This Row],[Inflacja3]]),IF(ZmianaWartościNieruchomości="stały %",AG70*(1+Tabela3[[#This Row],[Stały % zmiany warrtości]]),IF(ZmianaWartościNieruchomości="stała kwota",AG70+AF71,AG70)))))</f>
        <v>0</v>
      </c>
      <c r="AH71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71" s="177" cm="1">
        <f t="array" ref="AI71">Tabela3[[#This Row],[Wynik z najmu netto rocznie]]/IF(CzyKredyt="Tak",WydanaGotówka2,WydanaGotówka1)</f>
        <v>0</v>
      </c>
      <c r="AJ71" s="177" cm="1">
        <f t="array" ref="AJ71">Tabela3[[#This Row],[Wynik z najmu netto rocznie]]/IF(CzyKredyt="Tak",SumaKosztówPoczątkowychInwestycji,SumaKosztów)</f>
        <v>0</v>
      </c>
      <c r="AK71" s="155" cm="1">
        <f t="array" ref="AK71">IF(Tabela3[[#This Row],[Rok]]&gt;HoryzontInwestycyjny,0,-IF(CzyKredyt="Tak",WydanaGotówka2,WydanaGotówka1)+Tabela3[[#This Row],[Skumulowany wynik z najmu netto z najmu]])</f>
        <v>0</v>
      </c>
    </row>
    <row r="72" spans="3:37">
      <c r="C72" s="158">
        <v>19</v>
      </c>
      <c r="D72" s="152">
        <f t="shared" si="0"/>
        <v>0.02</v>
      </c>
      <c r="E72" s="152">
        <f t="shared" si="1"/>
        <v>0.04</v>
      </c>
      <c r="F72" s="167">
        <f t="shared" si="2"/>
        <v>150</v>
      </c>
      <c r="G72" s="151">
        <f>IF(Tabela3[[#This Row],[Rok]]&gt;HoryzontInwestycyjny,0,IF(ZmianaOdstępnego="bez zmian",G71,IF(ZmianaOdstępnego="inflacyjnie",G71*(1+Wyniki2!$D72),IF(ZmianaOdstępnego="stały %",G71*(1+Wyniki2!$E72),IF(ZmianaOdstępnego="stała kwota",G71+Wyniki2!$F72,)))))</f>
        <v>0</v>
      </c>
      <c r="H72" s="165">
        <f>IF(Tabela3[[#This Row],[Rok]]&gt;HoryzontInwestycyjny,0,MAX(0, MiesiąceNajmu - MAX(0, MAX(IFERROR(IF(MOD($C72, MałyRemont) = 0,Czas_MałyRemont, 0),0),IFERROR(IF(MOD($C72,DużyRemont) = 0,Czas_DużyRemont, 0),0)) - (12 -MiesiąceNajmu))))</f>
        <v>0</v>
      </c>
      <c r="I72" s="166">
        <f t="shared" si="3"/>
        <v>0</v>
      </c>
      <c r="J72" s="152" t="str">
        <f>IF(Tabela3[[#This Row],[Rok]]&gt;HoryzontInwestycyjny,"",IF(ZmianaKosztów="TAK",Inflacja,0))</f>
        <v/>
      </c>
      <c r="K72" s="155"/>
      <c r="L72" s="155"/>
      <c r="M72" s="155"/>
      <c r="N72" s="171" cm="1">
        <f t="array" ref="N72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72" s="171" cm="1">
        <f t="array" ref="O72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72" s="155" cm="1">
        <f t="array" ref="P72">IF(Tabela3[[#This Row],[Rok]]&gt;HoryzontInwestycyjny,0,IF(12-Tabela3[[#This Row],[Liczba wynajętych miesięcy w roku]]&gt;0, (12-Tabela3[[#This Row],[Liczba wynajętych miesięcy w roku]]) *CzynszWspólnoty* IF(ZmianaKosztów="Tak", PRODUCT(1+J$54:INDEX($J$54:J72, ROWS($D$54:D72)-1)), 1), 0))</f>
        <v>0</v>
      </c>
      <c r="Q72" s="170">
        <f>IF(Tabela3[[#This Row],[Rok]]&gt;HoryzontInwestycyjny,0,SUMIF(Kredyt!$E:$E,Tabela3[[#This Row],[Rok]],Kredyt!$I:$I))</f>
        <v>0</v>
      </c>
      <c r="R72" s="171">
        <f>IF(Tabela3[[#This Row],[Rok]]&gt;HoryzontInwestycyjny,0,SUMIF(Kredyt!$E:$E,Tabela3[[#This Row],[Rok]],Kredyt!$J:$J))</f>
        <v>0</v>
      </c>
      <c r="S72" s="155">
        <f>Tabela3[[#This Row],[Rata kredytu: odsetki]]+Tabela3[[#This Row],[Rata kredytu: kapitał]]</f>
        <v>0</v>
      </c>
      <c r="T72" s="169" cm="1">
        <f t="array" ref="T72">IF(Tabela3[[#This Row],[Rok]]&gt;HoryzontInwestycyjny,0,IFERROR(INDEX(Kredyt!$M:$M,11+Tabela3[[#This Row],[Rok]]*12) * UbezŻyć,""))</f>
        <v>0</v>
      </c>
      <c r="U72" s="155" cm="1">
        <f t="array" ref="U72">IF(Tabela3[[#This Row],[Rok]]&gt;HoryzontInwestycyjny,0,IF(CzasKredytu&gt;=Tabela3[[#This Row],[Rok]],IF(ZmianaKosztów="Tak",UbezMiesz* PRODUCT(1+J72:J72), UbezMiesz),""))</f>
        <v>0</v>
      </c>
      <c r="V72" s="155" cm="1">
        <f t="array" ref="V72">IF(Tabela3[[#This Row],[Rok]]&gt;HoryzontInwestycyjny,0,IF(ZmianaKosztów="Tak", PodatekOdNieruchomości * PRODUCT(1+J$54:J71), PodNie))</f>
        <v>0</v>
      </c>
      <c r="W72" s="155">
        <f>KosztyZarządzania*Tabela3[[#This Row],[Przychody z wynajmu]]</f>
        <v>0</v>
      </c>
      <c r="X72" s="155" cm="1">
        <f t="array" ref="X72">IF(Tabela3[[#This Row],[Rok]]&gt;HoryzontInwestycyjny,0,IF(ZmianaKosztów="Tak", InneKosztyRocznie* PRODUCT(1+J$55:J72), InneKosztyRocznie))</f>
        <v>0</v>
      </c>
      <c r="Y72" s="155">
        <f>SUM(Tabela3[[#This Row],[Cena mieszkania + remont początkowy]:[Inne koszty]])-Tabela3[[#This Row],[Rata kredytu]]</f>
        <v>0</v>
      </c>
      <c r="Z72" s="155">
        <f>IF(Tabela3[[#This Row],[Przychody z wynajmu]]&lt;=100000, Tabela3[[#This Row],[Przychody z wynajmu]]*MałyPodatek, 100000*MałyPodatek + (Tabela3[[#This Row],[Przychody z wynajmu]]-100000)*DużyPodatek)</f>
        <v>0</v>
      </c>
      <c r="AA72" s="155">
        <f>Tabela3[[#This Row],[Wydatki związane z najmem całkowite]]+Tabela3[[#This Row],[Podatek od przychodu]]</f>
        <v>0</v>
      </c>
      <c r="AB72" s="155">
        <f>IF(Tabela3[[#This Row],[Rok]]&gt;HoryzontInwestycyjny,0,Tabela3[[#This Row],[Przychody z wynajmu]]-Tabela3[[#This Row],[Wydatki związane z najmem całkowite]]-Tabela3[[#This Row],[Podatek od przychodu]])</f>
        <v>0</v>
      </c>
      <c r="AC72" s="155">
        <f>IF(Tabela3[[#This Row],[Rok]]&gt;HoryzontInwestycyjny,0,AC71+Tabela3[[#This Row],[Wynik z najmu netto rocznie]])</f>
        <v>0</v>
      </c>
      <c r="AD72" s="176" t="str">
        <f>IF(Tabela3[[#This Row],[Rok]]&gt;HoryzontInwestycyjny,"",IF(ZmianaWartościNieruchomości="Inflacyjnie",Inflacja,0))</f>
        <v/>
      </c>
      <c r="AE72" s="177" t="str">
        <f>IF(Tabela3[[#This Row],[Rok]]&gt;HoryzontInwestycyjny,"",StałyProcentZmianyWartościNieruchomości)</f>
        <v/>
      </c>
      <c r="AF72" s="178" t="str">
        <f>IF(Tabela3[[#This Row],[Rok]]&gt;HoryzontInwestycyjny,"",StałaKwotaZmianyWartościNieruchomości)</f>
        <v/>
      </c>
      <c r="AG72" s="155">
        <f>IF(Tabela3[[#This Row],[Rok]]&gt;HoryzontInwestycyjny,0,IF(ZmianaWartościNieruchomości="bez zmian",AG71,IF(ZmianaWartościNieruchomości="inflacyjnie",AG71*(1+Tabela3[[#This Row],[Inflacja3]]),IF(ZmianaWartościNieruchomości="stały %",AG71*(1+Tabela3[[#This Row],[Stały % zmiany warrtości]]),IF(ZmianaWartościNieruchomości="stała kwota",AG71+AF72,AG71)))))</f>
        <v>0</v>
      </c>
      <c r="AH72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72" s="177" cm="1">
        <f t="array" ref="AI72">Tabela3[[#This Row],[Wynik z najmu netto rocznie]]/IF(CzyKredyt="Tak",WydanaGotówka2,WydanaGotówka1)</f>
        <v>0</v>
      </c>
      <c r="AJ72" s="177" cm="1">
        <f t="array" ref="AJ72">Tabela3[[#This Row],[Wynik z najmu netto rocznie]]/IF(CzyKredyt="Tak",SumaKosztówPoczątkowychInwestycji,SumaKosztów)</f>
        <v>0</v>
      </c>
      <c r="AK72" s="155" cm="1">
        <f t="array" ref="AK72">IF(Tabela3[[#This Row],[Rok]]&gt;HoryzontInwestycyjny,0,-IF(CzyKredyt="Tak",WydanaGotówka2,WydanaGotówka1)+Tabela3[[#This Row],[Skumulowany wynik z najmu netto z najmu]])</f>
        <v>0</v>
      </c>
    </row>
    <row r="73" spans="3:37">
      <c r="C73" s="158">
        <v>20</v>
      </c>
      <c r="D73" s="152">
        <f t="shared" si="0"/>
        <v>0.02</v>
      </c>
      <c r="E73" s="152">
        <f t="shared" si="1"/>
        <v>0.04</v>
      </c>
      <c r="F73" s="167">
        <f t="shared" si="2"/>
        <v>150</v>
      </c>
      <c r="G73" s="151">
        <f>IF(Tabela3[[#This Row],[Rok]]&gt;HoryzontInwestycyjny,0,IF(ZmianaOdstępnego="bez zmian",G72,IF(ZmianaOdstępnego="inflacyjnie",G72*(1+Wyniki2!$D73),IF(ZmianaOdstępnego="stały %",G72*(1+Wyniki2!$E73),IF(ZmianaOdstępnego="stała kwota",G72+Wyniki2!$F73,)))))</f>
        <v>0</v>
      </c>
      <c r="H73" s="165">
        <f>IF(Tabela3[[#This Row],[Rok]]&gt;HoryzontInwestycyjny,0,MAX(0, MiesiąceNajmu - MAX(0, MAX(IFERROR(IF(MOD($C73, MałyRemont) = 0,Czas_MałyRemont, 0),0),IFERROR(IF(MOD($C73,DużyRemont) = 0,Czas_DużyRemont, 0),0)) - (12 -MiesiąceNajmu))))</f>
        <v>0</v>
      </c>
      <c r="I73" s="166">
        <f t="shared" si="3"/>
        <v>0</v>
      </c>
      <c r="J73" s="152" t="str">
        <f>IF(Tabela3[[#This Row],[Rok]]&gt;HoryzontInwestycyjny,"",IF(ZmianaKosztów="TAK",Inflacja,0))</f>
        <v/>
      </c>
      <c r="K73" s="155"/>
      <c r="L73" s="155"/>
      <c r="M73" s="155"/>
      <c r="N73" s="171" cm="1">
        <f t="array" ref="N73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73" s="171" cm="1">
        <f t="array" ref="O73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73" s="155" cm="1">
        <f t="array" ref="P73">IF(Tabela3[[#This Row],[Rok]]&gt;HoryzontInwestycyjny,0,IF(12-Tabela3[[#This Row],[Liczba wynajętych miesięcy w roku]]&gt;0, (12-Tabela3[[#This Row],[Liczba wynajętych miesięcy w roku]]) *CzynszWspólnoty* IF(ZmianaKosztów="Tak", PRODUCT(1+J$54:INDEX($J$54:J73, ROWS($D$54:D73)-1)), 1), 0))</f>
        <v>0</v>
      </c>
      <c r="Q73" s="170">
        <f>IF(Tabela3[[#This Row],[Rok]]&gt;HoryzontInwestycyjny,0,SUMIF(Kredyt!$E:$E,Tabela3[[#This Row],[Rok]],Kredyt!$I:$I))</f>
        <v>0</v>
      </c>
      <c r="R73" s="171">
        <f>IF(Tabela3[[#This Row],[Rok]]&gt;HoryzontInwestycyjny,0,SUMIF(Kredyt!$E:$E,Tabela3[[#This Row],[Rok]],Kredyt!$J:$J))</f>
        <v>0</v>
      </c>
      <c r="S73" s="155">
        <f>Tabela3[[#This Row],[Rata kredytu: odsetki]]+Tabela3[[#This Row],[Rata kredytu: kapitał]]</f>
        <v>0</v>
      </c>
      <c r="T73" s="169" cm="1">
        <f t="array" ref="T73">IF(Tabela3[[#This Row],[Rok]]&gt;HoryzontInwestycyjny,0,IFERROR(INDEX(Kredyt!$M:$M,11+Tabela3[[#This Row],[Rok]]*12) * UbezŻyć,""))</f>
        <v>0</v>
      </c>
      <c r="U73" s="155" cm="1">
        <f t="array" ref="U73">IF(Tabela3[[#This Row],[Rok]]&gt;HoryzontInwestycyjny,0,IF(CzasKredytu&gt;=Tabela3[[#This Row],[Rok]],IF(ZmianaKosztów="Tak",UbezMiesz* PRODUCT(1+J73:J73), UbezMiesz),""))</f>
        <v>0</v>
      </c>
      <c r="V73" s="155" cm="1">
        <f t="array" ref="V73">IF(Tabela3[[#This Row],[Rok]]&gt;HoryzontInwestycyjny,0,IF(ZmianaKosztów="Tak", PodatekOdNieruchomości * PRODUCT(1+J$54:J72), PodNie))</f>
        <v>0</v>
      </c>
      <c r="W73" s="155">
        <f>KosztyZarządzania*Tabela3[[#This Row],[Przychody z wynajmu]]</f>
        <v>0</v>
      </c>
      <c r="X73" s="155" cm="1">
        <f t="array" ref="X73">IF(Tabela3[[#This Row],[Rok]]&gt;HoryzontInwestycyjny,0,IF(ZmianaKosztów="Tak", InneKosztyRocznie* PRODUCT(1+J$55:J73), InneKosztyRocznie))</f>
        <v>0</v>
      </c>
      <c r="Y73" s="155">
        <f>SUM(Tabela3[[#This Row],[Cena mieszkania + remont początkowy]:[Inne koszty]])-Tabela3[[#This Row],[Rata kredytu]]</f>
        <v>0</v>
      </c>
      <c r="Z73" s="155">
        <f>IF(Tabela3[[#This Row],[Przychody z wynajmu]]&lt;=100000, Tabela3[[#This Row],[Przychody z wynajmu]]*MałyPodatek, 100000*MałyPodatek + (Tabela3[[#This Row],[Przychody z wynajmu]]-100000)*DużyPodatek)</f>
        <v>0</v>
      </c>
      <c r="AA73" s="155">
        <f>Tabela3[[#This Row],[Wydatki związane z najmem całkowite]]+Tabela3[[#This Row],[Podatek od przychodu]]</f>
        <v>0</v>
      </c>
      <c r="AB73" s="155">
        <f>IF(Tabela3[[#This Row],[Rok]]&gt;HoryzontInwestycyjny,0,Tabela3[[#This Row],[Przychody z wynajmu]]-Tabela3[[#This Row],[Wydatki związane z najmem całkowite]]-Tabela3[[#This Row],[Podatek od przychodu]])</f>
        <v>0</v>
      </c>
      <c r="AC73" s="155">
        <f>IF(Tabela3[[#This Row],[Rok]]&gt;HoryzontInwestycyjny,0,AC72+Tabela3[[#This Row],[Wynik z najmu netto rocznie]])</f>
        <v>0</v>
      </c>
      <c r="AD73" s="176" t="str">
        <f>IF(Tabela3[[#This Row],[Rok]]&gt;HoryzontInwestycyjny,"",IF(ZmianaWartościNieruchomości="Inflacyjnie",Inflacja,0))</f>
        <v/>
      </c>
      <c r="AE73" s="177" t="str">
        <f>IF(Tabela3[[#This Row],[Rok]]&gt;HoryzontInwestycyjny,"",StałyProcentZmianyWartościNieruchomości)</f>
        <v/>
      </c>
      <c r="AF73" s="178" t="str">
        <f>IF(Tabela3[[#This Row],[Rok]]&gt;HoryzontInwestycyjny,"",StałaKwotaZmianyWartościNieruchomości)</f>
        <v/>
      </c>
      <c r="AG73" s="155">
        <f>IF(Tabela3[[#This Row],[Rok]]&gt;HoryzontInwestycyjny,0,IF(ZmianaWartościNieruchomości="bez zmian",AG72,IF(ZmianaWartościNieruchomości="inflacyjnie",AG72*(1+Tabela3[[#This Row],[Inflacja3]]),IF(ZmianaWartościNieruchomości="stały %",AG72*(1+Tabela3[[#This Row],[Stały % zmiany warrtości]]),IF(ZmianaWartościNieruchomości="stała kwota",AG72+AF73,AG72)))))</f>
        <v>0</v>
      </c>
      <c r="AH73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73" s="177" cm="1">
        <f t="array" ref="AI73">Tabela3[[#This Row],[Wynik z najmu netto rocznie]]/IF(CzyKredyt="Tak",WydanaGotówka2,WydanaGotówka1)</f>
        <v>0</v>
      </c>
      <c r="AJ73" s="177" cm="1">
        <f t="array" ref="AJ73">Tabela3[[#This Row],[Wynik z najmu netto rocznie]]/IF(CzyKredyt="Tak",SumaKosztówPoczątkowychInwestycji,SumaKosztów)</f>
        <v>0</v>
      </c>
      <c r="AK73" s="155" cm="1">
        <f t="array" ref="AK73">IF(Tabela3[[#This Row],[Rok]]&gt;HoryzontInwestycyjny,0,-IF(CzyKredyt="Tak",WydanaGotówka2,WydanaGotówka1)+Tabela3[[#This Row],[Skumulowany wynik z najmu netto z najmu]])</f>
        <v>0</v>
      </c>
    </row>
    <row r="74" spans="3:37">
      <c r="C74" s="158">
        <v>21</v>
      </c>
      <c r="D74" s="152">
        <f t="shared" si="0"/>
        <v>0.02</v>
      </c>
      <c r="E74" s="152">
        <f t="shared" si="1"/>
        <v>0.04</v>
      </c>
      <c r="F74" s="167">
        <f t="shared" si="2"/>
        <v>150</v>
      </c>
      <c r="G74" s="151">
        <f>IF(Tabela3[[#This Row],[Rok]]&gt;HoryzontInwestycyjny,0,IF(ZmianaOdstępnego="bez zmian",G73,IF(ZmianaOdstępnego="inflacyjnie",G73*(1+Wyniki2!$D74),IF(ZmianaOdstępnego="stały %",G73*(1+Wyniki2!$E74),IF(ZmianaOdstępnego="stała kwota",G73+Wyniki2!$F74,)))))</f>
        <v>0</v>
      </c>
      <c r="H74" s="165">
        <f>IF(Tabela3[[#This Row],[Rok]]&gt;HoryzontInwestycyjny,0,MAX(0, MiesiąceNajmu - MAX(0, MAX(IFERROR(IF(MOD($C74, MałyRemont) = 0,Czas_MałyRemont, 0),0),IFERROR(IF(MOD($C74,DużyRemont) = 0,Czas_DużyRemont, 0),0)) - (12 -MiesiąceNajmu))))</f>
        <v>0</v>
      </c>
      <c r="I74" s="166">
        <f t="shared" si="3"/>
        <v>0</v>
      </c>
      <c r="J74" s="152" t="str">
        <f>IF(Tabela3[[#This Row],[Rok]]&gt;HoryzontInwestycyjny,"",IF(ZmianaKosztów="TAK",Inflacja,0))</f>
        <v/>
      </c>
      <c r="K74" s="155"/>
      <c r="L74" s="155"/>
      <c r="M74" s="155"/>
      <c r="N74" s="171" cm="1">
        <f t="array" ref="N74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74" s="171" cm="1">
        <f t="array" ref="O74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74" s="155" cm="1">
        <f t="array" ref="P74">IF(Tabela3[[#This Row],[Rok]]&gt;HoryzontInwestycyjny,0,IF(12-Tabela3[[#This Row],[Liczba wynajętych miesięcy w roku]]&gt;0, (12-Tabela3[[#This Row],[Liczba wynajętych miesięcy w roku]]) *CzynszWspólnoty* IF(ZmianaKosztów="Tak", PRODUCT(1+J$54:INDEX($J$54:J74, ROWS($D$54:D74)-1)), 1), 0))</f>
        <v>0</v>
      </c>
      <c r="Q74" s="170">
        <f>IF(Tabela3[[#This Row],[Rok]]&gt;HoryzontInwestycyjny,0,SUMIF(Kredyt!$E:$E,Tabela3[[#This Row],[Rok]],Kredyt!$I:$I))</f>
        <v>0</v>
      </c>
      <c r="R74" s="171">
        <f>IF(Tabela3[[#This Row],[Rok]]&gt;HoryzontInwestycyjny,0,SUMIF(Kredyt!$E:$E,Tabela3[[#This Row],[Rok]],Kredyt!$J:$J))</f>
        <v>0</v>
      </c>
      <c r="S74" s="155">
        <f>Tabela3[[#This Row],[Rata kredytu: odsetki]]+Tabela3[[#This Row],[Rata kredytu: kapitał]]</f>
        <v>0</v>
      </c>
      <c r="T74" s="169" cm="1">
        <f t="array" ref="T74">IF(Tabela3[[#This Row],[Rok]]&gt;HoryzontInwestycyjny,0,IFERROR(INDEX(Kredyt!$M:$M,11+Tabela3[[#This Row],[Rok]]*12) * UbezŻyć,""))</f>
        <v>0</v>
      </c>
      <c r="U74" s="155" cm="1">
        <f t="array" ref="U74">IF(Tabela3[[#This Row],[Rok]]&gt;HoryzontInwestycyjny,0,IF(CzasKredytu&gt;=Tabela3[[#This Row],[Rok]],IF(ZmianaKosztów="Tak",UbezMiesz* PRODUCT(1+J74:J74), UbezMiesz),""))</f>
        <v>0</v>
      </c>
      <c r="V74" s="155" cm="1">
        <f t="array" ref="V74">IF(Tabela3[[#This Row],[Rok]]&gt;HoryzontInwestycyjny,0,IF(ZmianaKosztów="Tak", PodatekOdNieruchomości * PRODUCT(1+J$54:J73), PodNie))</f>
        <v>0</v>
      </c>
      <c r="W74" s="155">
        <f>KosztyZarządzania*Tabela3[[#This Row],[Przychody z wynajmu]]</f>
        <v>0</v>
      </c>
      <c r="X74" s="155" cm="1">
        <f t="array" ref="X74">IF(Tabela3[[#This Row],[Rok]]&gt;HoryzontInwestycyjny,0,IF(ZmianaKosztów="Tak", InneKosztyRocznie* PRODUCT(1+J$55:J74), InneKosztyRocznie))</f>
        <v>0</v>
      </c>
      <c r="Y74" s="155">
        <f>SUM(Tabela3[[#This Row],[Cena mieszkania + remont początkowy]:[Inne koszty]])-Tabela3[[#This Row],[Rata kredytu]]</f>
        <v>0</v>
      </c>
      <c r="Z74" s="155">
        <f>IF(Tabela3[[#This Row],[Przychody z wynajmu]]&lt;=100000, Tabela3[[#This Row],[Przychody z wynajmu]]*MałyPodatek, 100000*MałyPodatek + (Tabela3[[#This Row],[Przychody z wynajmu]]-100000)*DużyPodatek)</f>
        <v>0</v>
      </c>
      <c r="AA74" s="155">
        <f>Tabela3[[#This Row],[Wydatki związane z najmem całkowite]]+Tabela3[[#This Row],[Podatek od przychodu]]</f>
        <v>0</v>
      </c>
      <c r="AB74" s="155">
        <f>IF(Tabela3[[#This Row],[Rok]]&gt;HoryzontInwestycyjny,0,Tabela3[[#This Row],[Przychody z wynajmu]]-Tabela3[[#This Row],[Wydatki związane z najmem całkowite]]-Tabela3[[#This Row],[Podatek od przychodu]])</f>
        <v>0</v>
      </c>
      <c r="AC74" s="155">
        <f>IF(Tabela3[[#This Row],[Rok]]&gt;HoryzontInwestycyjny,0,AC73+Tabela3[[#This Row],[Wynik z najmu netto rocznie]])</f>
        <v>0</v>
      </c>
      <c r="AD74" s="176" t="str">
        <f>IF(Tabela3[[#This Row],[Rok]]&gt;HoryzontInwestycyjny,"",IF(ZmianaWartościNieruchomości="Inflacyjnie",Inflacja,0))</f>
        <v/>
      </c>
      <c r="AE74" s="177" t="str">
        <f>IF(Tabela3[[#This Row],[Rok]]&gt;HoryzontInwestycyjny,"",StałyProcentZmianyWartościNieruchomości)</f>
        <v/>
      </c>
      <c r="AF74" s="178" t="str">
        <f>IF(Tabela3[[#This Row],[Rok]]&gt;HoryzontInwestycyjny,"",StałaKwotaZmianyWartościNieruchomości)</f>
        <v/>
      </c>
      <c r="AG74" s="155">
        <f>IF(Tabela3[[#This Row],[Rok]]&gt;HoryzontInwestycyjny,0,IF(ZmianaWartościNieruchomości="bez zmian",AG73,IF(ZmianaWartościNieruchomości="inflacyjnie",AG73*(1+Tabela3[[#This Row],[Inflacja3]]),IF(ZmianaWartościNieruchomości="stały %",AG73*(1+Tabela3[[#This Row],[Stały % zmiany warrtości]]),IF(ZmianaWartościNieruchomości="stała kwota",AG73+AF74,AG73)))))</f>
        <v>0</v>
      </c>
      <c r="AH74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74" s="177" cm="1">
        <f t="array" ref="AI74">Tabela3[[#This Row],[Wynik z najmu netto rocznie]]/IF(CzyKredyt="Tak",WydanaGotówka2,WydanaGotówka1)</f>
        <v>0</v>
      </c>
      <c r="AJ74" s="177" cm="1">
        <f t="array" ref="AJ74">Tabela3[[#This Row],[Wynik z najmu netto rocznie]]/IF(CzyKredyt="Tak",SumaKosztówPoczątkowychInwestycji,SumaKosztów)</f>
        <v>0</v>
      </c>
      <c r="AK74" s="155" cm="1">
        <f t="array" ref="AK74">IF(Tabela3[[#This Row],[Rok]]&gt;HoryzontInwestycyjny,0,-IF(CzyKredyt="Tak",WydanaGotówka2,WydanaGotówka1)+Tabela3[[#This Row],[Skumulowany wynik z najmu netto z najmu]])</f>
        <v>0</v>
      </c>
    </row>
    <row r="75" spans="3:37">
      <c r="C75" s="158">
        <v>22</v>
      </c>
      <c r="D75" s="152">
        <f t="shared" si="0"/>
        <v>0.02</v>
      </c>
      <c r="E75" s="152">
        <f t="shared" si="1"/>
        <v>0.04</v>
      </c>
      <c r="F75" s="167">
        <f t="shared" si="2"/>
        <v>150</v>
      </c>
      <c r="G75" s="151">
        <f>IF(Tabela3[[#This Row],[Rok]]&gt;HoryzontInwestycyjny,0,IF(ZmianaOdstępnego="bez zmian",G74,IF(ZmianaOdstępnego="inflacyjnie",G74*(1+Wyniki2!$D75),IF(ZmianaOdstępnego="stały %",G74*(1+Wyniki2!$E75),IF(ZmianaOdstępnego="stała kwota",G74+Wyniki2!$F75,)))))</f>
        <v>0</v>
      </c>
      <c r="H75" s="165">
        <f>IF(Tabela3[[#This Row],[Rok]]&gt;HoryzontInwestycyjny,0,MAX(0, MiesiąceNajmu - MAX(0, MAX(IFERROR(IF(MOD($C75, MałyRemont) = 0,Czas_MałyRemont, 0),0),IFERROR(IF(MOD($C75,DużyRemont) = 0,Czas_DużyRemont, 0),0)) - (12 -MiesiąceNajmu))))</f>
        <v>0</v>
      </c>
      <c r="I75" s="166">
        <f t="shared" si="3"/>
        <v>0</v>
      </c>
      <c r="J75" s="152" t="str">
        <f>IF(Tabela3[[#This Row],[Rok]]&gt;HoryzontInwestycyjny,"",IF(ZmianaKosztów="TAK",Inflacja,0))</f>
        <v/>
      </c>
      <c r="K75" s="155"/>
      <c r="L75" s="155"/>
      <c r="M75" s="155"/>
      <c r="N75" s="171" cm="1">
        <f t="array" ref="N75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75" s="171" cm="1">
        <f t="array" ref="O75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75" s="155" cm="1">
        <f t="array" ref="P75">IF(Tabela3[[#This Row],[Rok]]&gt;HoryzontInwestycyjny,0,IF(12-Tabela3[[#This Row],[Liczba wynajętych miesięcy w roku]]&gt;0, (12-Tabela3[[#This Row],[Liczba wynajętych miesięcy w roku]]) *CzynszWspólnoty* IF(ZmianaKosztów="Tak", PRODUCT(1+J$54:INDEX($J$54:J75, ROWS($D$54:D75)-1)), 1), 0))</f>
        <v>0</v>
      </c>
      <c r="Q75" s="170">
        <f>IF(Tabela3[[#This Row],[Rok]]&gt;HoryzontInwestycyjny,0,SUMIF(Kredyt!$E:$E,Tabela3[[#This Row],[Rok]],Kredyt!$I:$I))</f>
        <v>0</v>
      </c>
      <c r="R75" s="171">
        <f>IF(Tabela3[[#This Row],[Rok]]&gt;HoryzontInwestycyjny,0,SUMIF(Kredyt!$E:$E,Tabela3[[#This Row],[Rok]],Kredyt!$J:$J))</f>
        <v>0</v>
      </c>
      <c r="S75" s="155">
        <f>Tabela3[[#This Row],[Rata kredytu: odsetki]]+Tabela3[[#This Row],[Rata kredytu: kapitał]]</f>
        <v>0</v>
      </c>
      <c r="T75" s="169" cm="1">
        <f t="array" ref="T75">IF(Tabela3[[#This Row],[Rok]]&gt;HoryzontInwestycyjny,0,IFERROR(INDEX(Kredyt!$M:$M,11+Tabela3[[#This Row],[Rok]]*12) * UbezŻyć,""))</f>
        <v>0</v>
      </c>
      <c r="U75" s="155" cm="1">
        <f t="array" ref="U75">IF(Tabela3[[#This Row],[Rok]]&gt;HoryzontInwestycyjny,0,IF(CzasKredytu&gt;=Tabela3[[#This Row],[Rok]],IF(ZmianaKosztów="Tak",UbezMiesz* PRODUCT(1+J75:J75), UbezMiesz),""))</f>
        <v>0</v>
      </c>
      <c r="V75" s="155" cm="1">
        <f t="array" ref="V75">IF(Tabela3[[#This Row],[Rok]]&gt;HoryzontInwestycyjny,0,IF(ZmianaKosztów="Tak", PodatekOdNieruchomości * PRODUCT(1+J$54:J74), PodNie))</f>
        <v>0</v>
      </c>
      <c r="W75" s="155">
        <f>KosztyZarządzania*Tabela3[[#This Row],[Przychody z wynajmu]]</f>
        <v>0</v>
      </c>
      <c r="X75" s="155" cm="1">
        <f t="array" ref="X75">IF(Tabela3[[#This Row],[Rok]]&gt;HoryzontInwestycyjny,0,IF(ZmianaKosztów="Tak", InneKosztyRocznie* PRODUCT(1+J$55:J75), InneKosztyRocznie))</f>
        <v>0</v>
      </c>
      <c r="Y75" s="155">
        <f>SUM(Tabela3[[#This Row],[Cena mieszkania + remont początkowy]:[Inne koszty]])-Tabela3[[#This Row],[Rata kredytu]]</f>
        <v>0</v>
      </c>
      <c r="Z75" s="155">
        <f>IF(Tabela3[[#This Row],[Przychody z wynajmu]]&lt;=100000, Tabela3[[#This Row],[Przychody z wynajmu]]*MałyPodatek, 100000*MałyPodatek + (Tabela3[[#This Row],[Przychody z wynajmu]]-100000)*DużyPodatek)</f>
        <v>0</v>
      </c>
      <c r="AA75" s="155">
        <f>Tabela3[[#This Row],[Wydatki związane z najmem całkowite]]+Tabela3[[#This Row],[Podatek od przychodu]]</f>
        <v>0</v>
      </c>
      <c r="AB75" s="155">
        <f>IF(Tabela3[[#This Row],[Rok]]&gt;HoryzontInwestycyjny,0,Tabela3[[#This Row],[Przychody z wynajmu]]-Tabela3[[#This Row],[Wydatki związane z najmem całkowite]]-Tabela3[[#This Row],[Podatek od przychodu]])</f>
        <v>0</v>
      </c>
      <c r="AC75" s="155">
        <f>IF(Tabela3[[#This Row],[Rok]]&gt;HoryzontInwestycyjny,0,AC74+Tabela3[[#This Row],[Wynik z najmu netto rocznie]])</f>
        <v>0</v>
      </c>
      <c r="AD75" s="176" t="str">
        <f>IF(Tabela3[[#This Row],[Rok]]&gt;HoryzontInwestycyjny,"",IF(ZmianaWartościNieruchomości="Inflacyjnie",Inflacja,0))</f>
        <v/>
      </c>
      <c r="AE75" s="177" t="str">
        <f>IF(Tabela3[[#This Row],[Rok]]&gt;HoryzontInwestycyjny,"",StałyProcentZmianyWartościNieruchomości)</f>
        <v/>
      </c>
      <c r="AF75" s="178" t="str">
        <f>IF(Tabela3[[#This Row],[Rok]]&gt;HoryzontInwestycyjny,"",StałaKwotaZmianyWartościNieruchomości)</f>
        <v/>
      </c>
      <c r="AG75" s="155">
        <f>IF(Tabela3[[#This Row],[Rok]]&gt;HoryzontInwestycyjny,0,IF(ZmianaWartościNieruchomości="bez zmian",AG74,IF(ZmianaWartościNieruchomości="inflacyjnie",AG74*(1+Tabela3[[#This Row],[Inflacja3]]),IF(ZmianaWartościNieruchomości="stały %",AG74*(1+Tabela3[[#This Row],[Stały % zmiany warrtości]]),IF(ZmianaWartościNieruchomości="stała kwota",AG74+AF75,AG74)))))</f>
        <v>0</v>
      </c>
      <c r="AH75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75" s="177" cm="1">
        <f t="array" ref="AI75">Tabela3[[#This Row],[Wynik z najmu netto rocznie]]/IF(CzyKredyt="Tak",WydanaGotówka2,WydanaGotówka1)</f>
        <v>0</v>
      </c>
      <c r="AJ75" s="177" cm="1">
        <f t="array" ref="AJ75">Tabela3[[#This Row],[Wynik z najmu netto rocznie]]/IF(CzyKredyt="Tak",SumaKosztówPoczątkowychInwestycji,SumaKosztów)</f>
        <v>0</v>
      </c>
      <c r="AK75" s="155" cm="1">
        <f t="array" ref="AK75">IF(Tabela3[[#This Row],[Rok]]&gt;HoryzontInwestycyjny,0,-IF(CzyKredyt="Tak",WydanaGotówka2,WydanaGotówka1)+Tabela3[[#This Row],[Skumulowany wynik z najmu netto z najmu]])</f>
        <v>0</v>
      </c>
    </row>
    <row r="76" spans="3:37">
      <c r="C76" s="158">
        <v>23</v>
      </c>
      <c r="D76" s="152">
        <f t="shared" si="0"/>
        <v>0.02</v>
      </c>
      <c r="E76" s="152">
        <f t="shared" si="1"/>
        <v>0.04</v>
      </c>
      <c r="F76" s="167">
        <f t="shared" si="2"/>
        <v>150</v>
      </c>
      <c r="G76" s="151">
        <f>IF(Tabela3[[#This Row],[Rok]]&gt;HoryzontInwestycyjny,0,IF(ZmianaOdstępnego="bez zmian",G75,IF(ZmianaOdstępnego="inflacyjnie",G75*(1+Wyniki2!$D76),IF(ZmianaOdstępnego="stały %",G75*(1+Wyniki2!$E76),IF(ZmianaOdstępnego="stała kwota",G75+Wyniki2!$F76,)))))</f>
        <v>0</v>
      </c>
      <c r="H76" s="165">
        <f>IF(Tabela3[[#This Row],[Rok]]&gt;HoryzontInwestycyjny,0,MAX(0, MiesiąceNajmu - MAX(0, MAX(IFERROR(IF(MOD($C76, MałyRemont) = 0,Czas_MałyRemont, 0),0),IFERROR(IF(MOD($C76,DużyRemont) = 0,Czas_DużyRemont, 0),0)) - (12 -MiesiąceNajmu))))</f>
        <v>0</v>
      </c>
      <c r="I76" s="166">
        <f t="shared" si="3"/>
        <v>0</v>
      </c>
      <c r="J76" s="152" t="str">
        <f>IF(Tabela3[[#This Row],[Rok]]&gt;HoryzontInwestycyjny,"",IF(ZmianaKosztów="TAK",Inflacja,0))</f>
        <v/>
      </c>
      <c r="K76" s="155"/>
      <c r="L76" s="155"/>
      <c r="M76" s="155"/>
      <c r="N76" s="171" cm="1">
        <f t="array" ref="N76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76" s="171" cm="1">
        <f t="array" ref="O76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76" s="155" cm="1">
        <f t="array" ref="P76">IF(Tabela3[[#This Row],[Rok]]&gt;HoryzontInwestycyjny,0,IF(12-Tabela3[[#This Row],[Liczba wynajętych miesięcy w roku]]&gt;0, (12-Tabela3[[#This Row],[Liczba wynajętych miesięcy w roku]]) *CzynszWspólnoty* IF(ZmianaKosztów="Tak", PRODUCT(1+J$54:INDEX($J$54:J76, ROWS($D$54:D76)-1)), 1), 0))</f>
        <v>0</v>
      </c>
      <c r="Q76" s="170">
        <f>IF(Tabela3[[#This Row],[Rok]]&gt;HoryzontInwestycyjny,0,SUMIF(Kredyt!$E:$E,Tabela3[[#This Row],[Rok]],Kredyt!$I:$I))</f>
        <v>0</v>
      </c>
      <c r="R76" s="171">
        <f>IF(Tabela3[[#This Row],[Rok]]&gt;HoryzontInwestycyjny,0,SUMIF(Kredyt!$E:$E,Tabela3[[#This Row],[Rok]],Kredyt!$J:$J))</f>
        <v>0</v>
      </c>
      <c r="S76" s="155">
        <f>Tabela3[[#This Row],[Rata kredytu: odsetki]]+Tabela3[[#This Row],[Rata kredytu: kapitał]]</f>
        <v>0</v>
      </c>
      <c r="T76" s="169" cm="1">
        <f t="array" ref="T76">IF(Tabela3[[#This Row],[Rok]]&gt;HoryzontInwestycyjny,0,IFERROR(INDEX(Kredyt!$M:$M,11+Tabela3[[#This Row],[Rok]]*12) * UbezŻyć,""))</f>
        <v>0</v>
      </c>
      <c r="U76" s="155" cm="1">
        <f t="array" ref="U76">IF(Tabela3[[#This Row],[Rok]]&gt;HoryzontInwestycyjny,0,IF(CzasKredytu&gt;=Tabela3[[#This Row],[Rok]],IF(ZmianaKosztów="Tak",UbezMiesz* PRODUCT(1+J76:J76), UbezMiesz),""))</f>
        <v>0</v>
      </c>
      <c r="V76" s="155" cm="1">
        <f t="array" ref="V76">IF(Tabela3[[#This Row],[Rok]]&gt;HoryzontInwestycyjny,0,IF(ZmianaKosztów="Tak", PodatekOdNieruchomości * PRODUCT(1+J$54:J75), PodNie))</f>
        <v>0</v>
      </c>
      <c r="W76" s="155">
        <f>KosztyZarządzania*Tabela3[[#This Row],[Przychody z wynajmu]]</f>
        <v>0</v>
      </c>
      <c r="X76" s="155" cm="1">
        <f t="array" ref="X76">IF(Tabela3[[#This Row],[Rok]]&gt;HoryzontInwestycyjny,0,IF(ZmianaKosztów="Tak", InneKosztyRocznie* PRODUCT(1+J$55:J76), InneKosztyRocznie))</f>
        <v>0</v>
      </c>
      <c r="Y76" s="155">
        <f>SUM(Tabela3[[#This Row],[Cena mieszkania + remont początkowy]:[Inne koszty]])-Tabela3[[#This Row],[Rata kredytu]]</f>
        <v>0</v>
      </c>
      <c r="Z76" s="155">
        <f>IF(Tabela3[[#This Row],[Przychody z wynajmu]]&lt;=100000, Tabela3[[#This Row],[Przychody z wynajmu]]*MałyPodatek, 100000*MałyPodatek + (Tabela3[[#This Row],[Przychody z wynajmu]]-100000)*DużyPodatek)</f>
        <v>0</v>
      </c>
      <c r="AA76" s="155">
        <f>Tabela3[[#This Row],[Wydatki związane z najmem całkowite]]+Tabela3[[#This Row],[Podatek od przychodu]]</f>
        <v>0</v>
      </c>
      <c r="AB76" s="155">
        <f>IF(Tabela3[[#This Row],[Rok]]&gt;HoryzontInwestycyjny,0,Tabela3[[#This Row],[Przychody z wynajmu]]-Tabela3[[#This Row],[Wydatki związane z najmem całkowite]]-Tabela3[[#This Row],[Podatek od przychodu]])</f>
        <v>0</v>
      </c>
      <c r="AC76" s="155">
        <f>IF(Tabela3[[#This Row],[Rok]]&gt;HoryzontInwestycyjny,0,AC75+Tabela3[[#This Row],[Wynik z najmu netto rocznie]])</f>
        <v>0</v>
      </c>
      <c r="AD76" s="176" t="str">
        <f>IF(Tabela3[[#This Row],[Rok]]&gt;HoryzontInwestycyjny,"",IF(ZmianaWartościNieruchomości="Inflacyjnie",Inflacja,0))</f>
        <v/>
      </c>
      <c r="AE76" s="177" t="str">
        <f>IF(Tabela3[[#This Row],[Rok]]&gt;HoryzontInwestycyjny,"",StałyProcentZmianyWartościNieruchomości)</f>
        <v/>
      </c>
      <c r="AF76" s="178" t="str">
        <f>IF(Tabela3[[#This Row],[Rok]]&gt;HoryzontInwestycyjny,"",StałaKwotaZmianyWartościNieruchomości)</f>
        <v/>
      </c>
      <c r="AG76" s="155">
        <f>IF(Tabela3[[#This Row],[Rok]]&gt;HoryzontInwestycyjny,0,IF(ZmianaWartościNieruchomości="bez zmian",AG75,IF(ZmianaWartościNieruchomości="inflacyjnie",AG75*(1+Tabela3[[#This Row],[Inflacja3]]),IF(ZmianaWartościNieruchomości="stały %",AG75*(1+Tabela3[[#This Row],[Stały % zmiany warrtości]]),IF(ZmianaWartościNieruchomości="stała kwota",AG75+AF76,AG75)))))</f>
        <v>0</v>
      </c>
      <c r="AH76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76" s="177" cm="1">
        <f t="array" ref="AI76">Tabela3[[#This Row],[Wynik z najmu netto rocznie]]/IF(CzyKredyt="Tak",WydanaGotówka2,WydanaGotówka1)</f>
        <v>0</v>
      </c>
      <c r="AJ76" s="177" cm="1">
        <f t="array" ref="AJ76">Tabela3[[#This Row],[Wynik z najmu netto rocznie]]/IF(CzyKredyt="Tak",SumaKosztówPoczątkowychInwestycji,SumaKosztów)</f>
        <v>0</v>
      </c>
      <c r="AK76" s="155" cm="1">
        <f t="array" ref="AK76">IF(Tabela3[[#This Row],[Rok]]&gt;HoryzontInwestycyjny,0,-IF(CzyKredyt="Tak",WydanaGotówka2,WydanaGotówka1)+Tabela3[[#This Row],[Skumulowany wynik z najmu netto z najmu]])</f>
        <v>0</v>
      </c>
    </row>
    <row r="77" spans="3:37">
      <c r="C77" s="158">
        <v>24</v>
      </c>
      <c r="D77" s="152">
        <f t="shared" si="0"/>
        <v>0.02</v>
      </c>
      <c r="E77" s="152">
        <f t="shared" si="1"/>
        <v>0.04</v>
      </c>
      <c r="F77" s="167">
        <f t="shared" si="2"/>
        <v>150</v>
      </c>
      <c r="G77" s="151">
        <f>IF(Tabela3[[#This Row],[Rok]]&gt;HoryzontInwestycyjny,0,IF(ZmianaOdstępnego="bez zmian",G76,IF(ZmianaOdstępnego="inflacyjnie",G76*(1+Wyniki2!$D77),IF(ZmianaOdstępnego="stały %",G76*(1+Wyniki2!$E77),IF(ZmianaOdstępnego="stała kwota",G76+Wyniki2!$F77,)))))</f>
        <v>0</v>
      </c>
      <c r="H77" s="165">
        <f>IF(Tabela3[[#This Row],[Rok]]&gt;HoryzontInwestycyjny,0,MAX(0, MiesiąceNajmu - MAX(0, MAX(IFERROR(IF(MOD($C77, MałyRemont) = 0,Czas_MałyRemont, 0),0),IFERROR(IF(MOD($C77,DużyRemont) = 0,Czas_DużyRemont, 0),0)) - (12 -MiesiąceNajmu))))</f>
        <v>0</v>
      </c>
      <c r="I77" s="166">
        <f t="shared" si="3"/>
        <v>0</v>
      </c>
      <c r="J77" s="152" t="str">
        <f>IF(Tabela3[[#This Row],[Rok]]&gt;HoryzontInwestycyjny,"",IF(ZmianaKosztów="TAK",Inflacja,0))</f>
        <v/>
      </c>
      <c r="K77" s="155"/>
      <c r="L77" s="155"/>
      <c r="M77" s="155"/>
      <c r="N77" s="171" cm="1">
        <f t="array" ref="N77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77" s="171" cm="1">
        <f t="array" ref="O77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77" s="155" cm="1">
        <f t="array" ref="P77">IF(Tabela3[[#This Row],[Rok]]&gt;HoryzontInwestycyjny,0,IF(12-Tabela3[[#This Row],[Liczba wynajętych miesięcy w roku]]&gt;0, (12-Tabela3[[#This Row],[Liczba wynajętych miesięcy w roku]]) *CzynszWspólnoty* IF(ZmianaKosztów="Tak", PRODUCT(1+J$54:INDEX($J$54:J77, ROWS($D$54:D77)-1)), 1), 0))</f>
        <v>0</v>
      </c>
      <c r="Q77" s="170">
        <f>IF(Tabela3[[#This Row],[Rok]]&gt;HoryzontInwestycyjny,0,SUMIF(Kredyt!$E:$E,Tabela3[[#This Row],[Rok]],Kredyt!$I:$I))</f>
        <v>0</v>
      </c>
      <c r="R77" s="171">
        <f>IF(Tabela3[[#This Row],[Rok]]&gt;HoryzontInwestycyjny,0,SUMIF(Kredyt!$E:$E,Tabela3[[#This Row],[Rok]],Kredyt!$J:$J))</f>
        <v>0</v>
      </c>
      <c r="S77" s="155">
        <f>Tabela3[[#This Row],[Rata kredytu: odsetki]]+Tabela3[[#This Row],[Rata kredytu: kapitał]]</f>
        <v>0</v>
      </c>
      <c r="T77" s="169" cm="1">
        <f t="array" ref="T77">IF(Tabela3[[#This Row],[Rok]]&gt;HoryzontInwestycyjny,0,IFERROR(INDEX(Kredyt!$M:$M,11+Tabela3[[#This Row],[Rok]]*12) * UbezŻyć,""))</f>
        <v>0</v>
      </c>
      <c r="U77" s="155" cm="1">
        <f t="array" ref="U77">IF(Tabela3[[#This Row],[Rok]]&gt;HoryzontInwestycyjny,0,IF(CzasKredytu&gt;=Tabela3[[#This Row],[Rok]],IF(ZmianaKosztów="Tak",UbezMiesz* PRODUCT(1+J77:J77), UbezMiesz),""))</f>
        <v>0</v>
      </c>
      <c r="V77" s="155" cm="1">
        <f t="array" ref="V77">IF(Tabela3[[#This Row],[Rok]]&gt;HoryzontInwestycyjny,0,IF(ZmianaKosztów="Tak", PodatekOdNieruchomości * PRODUCT(1+J$54:J76), PodNie))</f>
        <v>0</v>
      </c>
      <c r="W77" s="155">
        <f>KosztyZarządzania*Tabela3[[#This Row],[Przychody z wynajmu]]</f>
        <v>0</v>
      </c>
      <c r="X77" s="155" cm="1">
        <f t="array" ref="X77">IF(Tabela3[[#This Row],[Rok]]&gt;HoryzontInwestycyjny,0,IF(ZmianaKosztów="Tak", InneKosztyRocznie* PRODUCT(1+J$55:J77), InneKosztyRocznie))</f>
        <v>0</v>
      </c>
      <c r="Y77" s="155">
        <f>SUM(Tabela3[[#This Row],[Cena mieszkania + remont początkowy]:[Inne koszty]])-Tabela3[[#This Row],[Rata kredytu]]</f>
        <v>0</v>
      </c>
      <c r="Z77" s="155">
        <f>IF(Tabela3[[#This Row],[Przychody z wynajmu]]&lt;=100000, Tabela3[[#This Row],[Przychody z wynajmu]]*MałyPodatek, 100000*MałyPodatek + (Tabela3[[#This Row],[Przychody z wynajmu]]-100000)*DużyPodatek)</f>
        <v>0</v>
      </c>
      <c r="AA77" s="155">
        <f>Tabela3[[#This Row],[Wydatki związane z najmem całkowite]]+Tabela3[[#This Row],[Podatek od przychodu]]</f>
        <v>0</v>
      </c>
      <c r="AB77" s="155">
        <f>IF(Tabela3[[#This Row],[Rok]]&gt;HoryzontInwestycyjny,0,Tabela3[[#This Row],[Przychody z wynajmu]]-Tabela3[[#This Row],[Wydatki związane z najmem całkowite]]-Tabela3[[#This Row],[Podatek od przychodu]])</f>
        <v>0</v>
      </c>
      <c r="AC77" s="155">
        <f>IF(Tabela3[[#This Row],[Rok]]&gt;HoryzontInwestycyjny,0,AC76+Tabela3[[#This Row],[Wynik z najmu netto rocznie]])</f>
        <v>0</v>
      </c>
      <c r="AD77" s="176" t="str">
        <f>IF(Tabela3[[#This Row],[Rok]]&gt;HoryzontInwestycyjny,"",IF(ZmianaWartościNieruchomości="Inflacyjnie",Inflacja,0))</f>
        <v/>
      </c>
      <c r="AE77" s="177" t="str">
        <f>IF(Tabela3[[#This Row],[Rok]]&gt;HoryzontInwestycyjny,"",StałyProcentZmianyWartościNieruchomości)</f>
        <v/>
      </c>
      <c r="AF77" s="178" t="str">
        <f>IF(Tabela3[[#This Row],[Rok]]&gt;HoryzontInwestycyjny,"",StałaKwotaZmianyWartościNieruchomości)</f>
        <v/>
      </c>
      <c r="AG77" s="155">
        <f>IF(Tabela3[[#This Row],[Rok]]&gt;HoryzontInwestycyjny,0,IF(ZmianaWartościNieruchomości="bez zmian",AG76,IF(ZmianaWartościNieruchomości="inflacyjnie",AG76*(1+Tabela3[[#This Row],[Inflacja3]]),IF(ZmianaWartościNieruchomości="stały %",AG76*(1+Tabela3[[#This Row],[Stały % zmiany warrtości]]),IF(ZmianaWartościNieruchomości="stała kwota",AG76+AF77,AG76)))))</f>
        <v>0</v>
      </c>
      <c r="AH77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77" s="177" cm="1">
        <f t="array" ref="AI77">Tabela3[[#This Row],[Wynik z najmu netto rocznie]]/IF(CzyKredyt="Tak",WydanaGotówka2,WydanaGotówka1)</f>
        <v>0</v>
      </c>
      <c r="AJ77" s="177" cm="1">
        <f t="array" ref="AJ77">Tabela3[[#This Row],[Wynik z najmu netto rocznie]]/IF(CzyKredyt="Tak",SumaKosztówPoczątkowychInwestycji,SumaKosztów)</f>
        <v>0</v>
      </c>
      <c r="AK77" s="155" cm="1">
        <f t="array" ref="AK77">IF(Tabela3[[#This Row],[Rok]]&gt;HoryzontInwestycyjny,0,-IF(CzyKredyt="Tak",WydanaGotówka2,WydanaGotówka1)+Tabela3[[#This Row],[Skumulowany wynik z najmu netto z najmu]])</f>
        <v>0</v>
      </c>
    </row>
    <row r="78" spans="3:37">
      <c r="C78" s="158">
        <v>25</v>
      </c>
      <c r="D78" s="152">
        <f t="shared" si="0"/>
        <v>0.02</v>
      </c>
      <c r="E78" s="152">
        <f t="shared" si="1"/>
        <v>0.04</v>
      </c>
      <c r="F78" s="167">
        <f t="shared" si="2"/>
        <v>150</v>
      </c>
      <c r="G78" s="151">
        <f>IF(Tabela3[[#This Row],[Rok]]&gt;HoryzontInwestycyjny,0,IF(ZmianaOdstępnego="bez zmian",G77,IF(ZmianaOdstępnego="inflacyjnie",G77*(1+Wyniki2!$D78),IF(ZmianaOdstępnego="stały %",G77*(1+Wyniki2!$E78),IF(ZmianaOdstępnego="stała kwota",G77+Wyniki2!$F78,)))))</f>
        <v>0</v>
      </c>
      <c r="H78" s="165">
        <f>IF(Tabela3[[#This Row],[Rok]]&gt;HoryzontInwestycyjny,0,MAX(0, MiesiąceNajmu - MAX(0, MAX(IFERROR(IF(MOD($C78, MałyRemont) = 0,Czas_MałyRemont, 0),0),IFERROR(IF(MOD($C78,DużyRemont) = 0,Czas_DużyRemont, 0),0)) - (12 -MiesiąceNajmu))))</f>
        <v>0</v>
      </c>
      <c r="I78" s="166">
        <f t="shared" si="3"/>
        <v>0</v>
      </c>
      <c r="J78" s="152" t="str">
        <f>IF(Tabela3[[#This Row],[Rok]]&gt;HoryzontInwestycyjny,"",IF(ZmianaKosztów="TAK",Inflacja,0))</f>
        <v/>
      </c>
      <c r="K78" s="155"/>
      <c r="L78" s="155"/>
      <c r="M78" s="155"/>
      <c r="N78" s="171" cm="1">
        <f t="array" ref="N78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78" s="171" cm="1">
        <f t="array" ref="O78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78" s="155" cm="1">
        <f t="array" ref="P78">IF(Tabela3[[#This Row],[Rok]]&gt;HoryzontInwestycyjny,0,IF(12-Tabela3[[#This Row],[Liczba wynajętych miesięcy w roku]]&gt;0, (12-Tabela3[[#This Row],[Liczba wynajętych miesięcy w roku]]) *CzynszWspólnoty* IF(ZmianaKosztów="Tak", PRODUCT(1+J$54:INDEX($J$54:J78, ROWS($D$54:D78)-1)), 1), 0))</f>
        <v>0</v>
      </c>
      <c r="Q78" s="170">
        <f>IF(Tabela3[[#This Row],[Rok]]&gt;HoryzontInwestycyjny,0,SUMIF(Kredyt!$E:$E,Tabela3[[#This Row],[Rok]],Kredyt!$I:$I))</f>
        <v>0</v>
      </c>
      <c r="R78" s="171">
        <f>IF(Tabela3[[#This Row],[Rok]]&gt;HoryzontInwestycyjny,0,SUMIF(Kredyt!$E:$E,Tabela3[[#This Row],[Rok]],Kredyt!$J:$J))</f>
        <v>0</v>
      </c>
      <c r="S78" s="155">
        <f>Tabela3[[#This Row],[Rata kredytu: odsetki]]+Tabela3[[#This Row],[Rata kredytu: kapitał]]</f>
        <v>0</v>
      </c>
      <c r="T78" s="169" cm="1">
        <f t="array" ref="T78">IF(Tabela3[[#This Row],[Rok]]&gt;HoryzontInwestycyjny,0,IFERROR(INDEX(Kredyt!$M:$M,11+Tabela3[[#This Row],[Rok]]*12) * UbezŻyć,""))</f>
        <v>0</v>
      </c>
      <c r="U78" s="155" cm="1">
        <f t="array" ref="U78">IF(Tabela3[[#This Row],[Rok]]&gt;HoryzontInwestycyjny,0,IF(CzasKredytu&gt;=Tabela3[[#This Row],[Rok]],IF(ZmianaKosztów="Tak",UbezMiesz* PRODUCT(1+J78:J78), UbezMiesz),""))</f>
        <v>0</v>
      </c>
      <c r="V78" s="155" cm="1">
        <f t="array" ref="V78">IF(Tabela3[[#This Row],[Rok]]&gt;HoryzontInwestycyjny,0,IF(ZmianaKosztów="Tak", PodatekOdNieruchomości * PRODUCT(1+J$54:J77), PodNie))</f>
        <v>0</v>
      </c>
      <c r="W78" s="155">
        <f>KosztyZarządzania*Tabela3[[#This Row],[Przychody z wynajmu]]</f>
        <v>0</v>
      </c>
      <c r="X78" s="155" cm="1">
        <f t="array" ref="X78">IF(Tabela3[[#This Row],[Rok]]&gt;HoryzontInwestycyjny,0,IF(ZmianaKosztów="Tak", InneKosztyRocznie* PRODUCT(1+J$55:J78), InneKosztyRocznie))</f>
        <v>0</v>
      </c>
      <c r="Y78" s="155">
        <f>SUM(Tabela3[[#This Row],[Cena mieszkania + remont początkowy]:[Inne koszty]])-Tabela3[[#This Row],[Rata kredytu]]</f>
        <v>0</v>
      </c>
      <c r="Z78" s="155">
        <f>IF(Tabela3[[#This Row],[Przychody z wynajmu]]&lt;=100000, Tabela3[[#This Row],[Przychody z wynajmu]]*MałyPodatek, 100000*MałyPodatek + (Tabela3[[#This Row],[Przychody z wynajmu]]-100000)*DużyPodatek)</f>
        <v>0</v>
      </c>
      <c r="AA78" s="155">
        <f>Tabela3[[#This Row],[Wydatki związane z najmem całkowite]]+Tabela3[[#This Row],[Podatek od przychodu]]</f>
        <v>0</v>
      </c>
      <c r="AB78" s="155">
        <f>IF(Tabela3[[#This Row],[Rok]]&gt;HoryzontInwestycyjny,0,Tabela3[[#This Row],[Przychody z wynajmu]]-Tabela3[[#This Row],[Wydatki związane z najmem całkowite]]-Tabela3[[#This Row],[Podatek od przychodu]])</f>
        <v>0</v>
      </c>
      <c r="AC78" s="155">
        <f>IF(Tabela3[[#This Row],[Rok]]&gt;HoryzontInwestycyjny,0,AC77+Tabela3[[#This Row],[Wynik z najmu netto rocznie]])</f>
        <v>0</v>
      </c>
      <c r="AD78" s="176" t="str">
        <f>IF(Tabela3[[#This Row],[Rok]]&gt;HoryzontInwestycyjny,"",IF(ZmianaWartościNieruchomości="Inflacyjnie",Inflacja,0))</f>
        <v/>
      </c>
      <c r="AE78" s="177" t="str">
        <f>IF(Tabela3[[#This Row],[Rok]]&gt;HoryzontInwestycyjny,"",StałyProcentZmianyWartościNieruchomości)</f>
        <v/>
      </c>
      <c r="AF78" s="178" t="str">
        <f>IF(Tabela3[[#This Row],[Rok]]&gt;HoryzontInwestycyjny,"",StałaKwotaZmianyWartościNieruchomości)</f>
        <v/>
      </c>
      <c r="AG78" s="155">
        <f>IF(Tabela3[[#This Row],[Rok]]&gt;HoryzontInwestycyjny,0,IF(ZmianaWartościNieruchomości="bez zmian",AG77,IF(ZmianaWartościNieruchomości="inflacyjnie",AG77*(1+Tabela3[[#This Row],[Inflacja3]]),IF(ZmianaWartościNieruchomości="stały %",AG77*(1+Tabela3[[#This Row],[Stały % zmiany warrtości]]),IF(ZmianaWartościNieruchomości="stała kwota",AG77+AF78,AG77)))))</f>
        <v>0</v>
      </c>
      <c r="AH78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78" s="177" cm="1">
        <f t="array" ref="AI78">Tabela3[[#This Row],[Wynik z najmu netto rocznie]]/IF(CzyKredyt="Tak",WydanaGotówka2,WydanaGotówka1)</f>
        <v>0</v>
      </c>
      <c r="AJ78" s="177" cm="1">
        <f t="array" ref="AJ78">Tabela3[[#This Row],[Wynik z najmu netto rocznie]]/IF(CzyKredyt="Tak",SumaKosztówPoczątkowychInwestycji,SumaKosztów)</f>
        <v>0</v>
      </c>
      <c r="AK78" s="155" cm="1">
        <f t="array" ref="AK78">IF(Tabela3[[#This Row],[Rok]]&gt;HoryzontInwestycyjny,0,-IF(CzyKredyt="Tak",WydanaGotówka2,WydanaGotówka1)+Tabela3[[#This Row],[Skumulowany wynik z najmu netto z najmu]])</f>
        <v>0</v>
      </c>
    </row>
    <row r="79" spans="3:37">
      <c r="C79" s="158">
        <v>26</v>
      </c>
      <c r="D79" s="152">
        <f t="shared" si="0"/>
        <v>0.02</v>
      </c>
      <c r="E79" s="152">
        <f t="shared" si="1"/>
        <v>0.04</v>
      </c>
      <c r="F79" s="167">
        <f t="shared" si="2"/>
        <v>150</v>
      </c>
      <c r="G79" s="151">
        <f>IF(Tabela3[[#This Row],[Rok]]&gt;HoryzontInwestycyjny,0,IF(ZmianaOdstępnego="bez zmian",G78,IF(ZmianaOdstępnego="inflacyjnie",G78*(1+Wyniki2!$D79),IF(ZmianaOdstępnego="stały %",G78*(1+Wyniki2!$E79),IF(ZmianaOdstępnego="stała kwota",G78+Wyniki2!$F79,)))))</f>
        <v>0</v>
      </c>
      <c r="H79" s="165">
        <f>IF(Tabela3[[#This Row],[Rok]]&gt;HoryzontInwestycyjny,0,MAX(0, MiesiąceNajmu - MAX(0, MAX(IFERROR(IF(MOD($C79, MałyRemont) = 0,Czas_MałyRemont, 0),0),IFERROR(IF(MOD($C79,DużyRemont) = 0,Czas_DużyRemont, 0),0)) - (12 -MiesiąceNajmu))))</f>
        <v>0</v>
      </c>
      <c r="I79" s="166">
        <f t="shared" si="3"/>
        <v>0</v>
      </c>
      <c r="J79" s="152" t="str">
        <f>IF(Tabela3[[#This Row],[Rok]]&gt;HoryzontInwestycyjny,"",IF(ZmianaKosztów="TAK",Inflacja,0))</f>
        <v/>
      </c>
      <c r="K79" s="155"/>
      <c r="L79" s="155"/>
      <c r="M79" s="155"/>
      <c r="N79" s="171" cm="1">
        <f t="array" ref="N79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79" s="171" cm="1">
        <f t="array" ref="O79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79" s="155" cm="1">
        <f t="array" ref="P79">IF(Tabela3[[#This Row],[Rok]]&gt;HoryzontInwestycyjny,0,IF(12-Tabela3[[#This Row],[Liczba wynajętych miesięcy w roku]]&gt;0, (12-Tabela3[[#This Row],[Liczba wynajętych miesięcy w roku]]) *CzynszWspólnoty* IF(ZmianaKosztów="Tak", PRODUCT(1+J$54:INDEX($J$54:J79, ROWS($D$54:D79)-1)), 1), 0))</f>
        <v>0</v>
      </c>
      <c r="Q79" s="170">
        <f>IF(Tabela3[[#This Row],[Rok]]&gt;HoryzontInwestycyjny,0,SUMIF(Kredyt!$E:$E,Tabela3[[#This Row],[Rok]],Kredyt!$I:$I))</f>
        <v>0</v>
      </c>
      <c r="R79" s="171">
        <f>IF(Tabela3[[#This Row],[Rok]]&gt;HoryzontInwestycyjny,0,SUMIF(Kredyt!$E:$E,Tabela3[[#This Row],[Rok]],Kredyt!$J:$J))</f>
        <v>0</v>
      </c>
      <c r="S79" s="155">
        <f>Tabela3[[#This Row],[Rata kredytu: odsetki]]+Tabela3[[#This Row],[Rata kredytu: kapitał]]</f>
        <v>0</v>
      </c>
      <c r="T79" s="169" cm="1">
        <f t="array" ref="T79">IF(Tabela3[[#This Row],[Rok]]&gt;HoryzontInwestycyjny,0,IFERROR(INDEX(Kredyt!$M:$M,11+Tabela3[[#This Row],[Rok]]*12) * UbezŻyć,""))</f>
        <v>0</v>
      </c>
      <c r="U79" s="155" cm="1">
        <f t="array" ref="U79">IF(Tabela3[[#This Row],[Rok]]&gt;HoryzontInwestycyjny,0,IF(CzasKredytu&gt;=Tabela3[[#This Row],[Rok]],IF(ZmianaKosztów="Tak",UbezMiesz* PRODUCT(1+J79:J79), UbezMiesz),""))</f>
        <v>0</v>
      </c>
      <c r="V79" s="155" cm="1">
        <f t="array" ref="V79">IF(Tabela3[[#This Row],[Rok]]&gt;HoryzontInwestycyjny,0,IF(ZmianaKosztów="Tak", PodatekOdNieruchomości * PRODUCT(1+J$54:J78), PodNie))</f>
        <v>0</v>
      </c>
      <c r="W79" s="155">
        <f>KosztyZarządzania*Tabela3[[#This Row],[Przychody z wynajmu]]</f>
        <v>0</v>
      </c>
      <c r="X79" s="155" cm="1">
        <f t="array" ref="X79">IF(Tabela3[[#This Row],[Rok]]&gt;HoryzontInwestycyjny,0,IF(ZmianaKosztów="Tak", InneKosztyRocznie* PRODUCT(1+J$55:J79), InneKosztyRocznie))</f>
        <v>0</v>
      </c>
      <c r="Y79" s="155">
        <f>SUM(Tabela3[[#This Row],[Cena mieszkania + remont początkowy]:[Inne koszty]])-Tabela3[[#This Row],[Rata kredytu]]</f>
        <v>0</v>
      </c>
      <c r="Z79" s="155">
        <f>IF(Tabela3[[#This Row],[Przychody z wynajmu]]&lt;=100000, Tabela3[[#This Row],[Przychody z wynajmu]]*MałyPodatek, 100000*MałyPodatek + (Tabela3[[#This Row],[Przychody z wynajmu]]-100000)*DużyPodatek)</f>
        <v>0</v>
      </c>
      <c r="AA79" s="155">
        <f>Tabela3[[#This Row],[Wydatki związane z najmem całkowite]]+Tabela3[[#This Row],[Podatek od przychodu]]</f>
        <v>0</v>
      </c>
      <c r="AB79" s="155">
        <f>IF(Tabela3[[#This Row],[Rok]]&gt;HoryzontInwestycyjny,0,Tabela3[[#This Row],[Przychody z wynajmu]]-Tabela3[[#This Row],[Wydatki związane z najmem całkowite]]-Tabela3[[#This Row],[Podatek od przychodu]])</f>
        <v>0</v>
      </c>
      <c r="AC79" s="155">
        <f>IF(Tabela3[[#This Row],[Rok]]&gt;HoryzontInwestycyjny,0,AC78+Tabela3[[#This Row],[Wynik z najmu netto rocznie]])</f>
        <v>0</v>
      </c>
      <c r="AD79" s="176" t="str">
        <f>IF(Tabela3[[#This Row],[Rok]]&gt;HoryzontInwestycyjny,"",IF(ZmianaWartościNieruchomości="Inflacyjnie",Inflacja,0))</f>
        <v/>
      </c>
      <c r="AE79" s="177" t="str">
        <f>IF(Tabela3[[#This Row],[Rok]]&gt;HoryzontInwestycyjny,"",StałyProcentZmianyWartościNieruchomości)</f>
        <v/>
      </c>
      <c r="AF79" s="178" t="str">
        <f>IF(Tabela3[[#This Row],[Rok]]&gt;HoryzontInwestycyjny,"",StałaKwotaZmianyWartościNieruchomości)</f>
        <v/>
      </c>
      <c r="AG79" s="155">
        <f>IF(Tabela3[[#This Row],[Rok]]&gt;HoryzontInwestycyjny,0,IF(ZmianaWartościNieruchomości="bez zmian",AG78,IF(ZmianaWartościNieruchomości="inflacyjnie",AG78*(1+Tabela3[[#This Row],[Inflacja3]]),IF(ZmianaWartościNieruchomości="stały %",AG78*(1+Tabela3[[#This Row],[Stały % zmiany warrtości]]),IF(ZmianaWartościNieruchomości="stała kwota",AG78+AF79,AG78)))))</f>
        <v>0</v>
      </c>
      <c r="AH79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79" s="177" cm="1">
        <f t="array" ref="AI79">Tabela3[[#This Row],[Wynik z najmu netto rocznie]]/IF(CzyKredyt="Tak",WydanaGotówka2,WydanaGotówka1)</f>
        <v>0</v>
      </c>
      <c r="AJ79" s="177" cm="1">
        <f t="array" ref="AJ79">Tabela3[[#This Row],[Wynik z najmu netto rocznie]]/IF(CzyKredyt="Tak",SumaKosztówPoczątkowychInwestycji,SumaKosztów)</f>
        <v>0</v>
      </c>
      <c r="AK79" s="155" cm="1">
        <f t="array" ref="AK79">IF(Tabela3[[#This Row],[Rok]]&gt;HoryzontInwestycyjny,0,-IF(CzyKredyt="Tak",WydanaGotówka2,WydanaGotówka1)+Tabela3[[#This Row],[Skumulowany wynik z najmu netto z najmu]])</f>
        <v>0</v>
      </c>
    </row>
    <row r="80" spans="3:37">
      <c r="C80" s="158">
        <v>27</v>
      </c>
      <c r="D80" s="152">
        <f t="shared" si="0"/>
        <v>0.02</v>
      </c>
      <c r="E80" s="152">
        <f t="shared" si="1"/>
        <v>0.04</v>
      </c>
      <c r="F80" s="167">
        <f t="shared" si="2"/>
        <v>150</v>
      </c>
      <c r="G80" s="151">
        <f>IF(Tabela3[[#This Row],[Rok]]&gt;HoryzontInwestycyjny,0,IF(ZmianaOdstępnego="bez zmian",G79,IF(ZmianaOdstępnego="inflacyjnie",G79*(1+Wyniki2!$D80),IF(ZmianaOdstępnego="stały %",G79*(1+Wyniki2!$E80),IF(ZmianaOdstępnego="stała kwota",G79+Wyniki2!$F80,)))))</f>
        <v>0</v>
      </c>
      <c r="H80" s="165">
        <f>IF(Tabela3[[#This Row],[Rok]]&gt;HoryzontInwestycyjny,0,MAX(0, MiesiąceNajmu - MAX(0, MAX(IFERROR(IF(MOD($C80, MałyRemont) = 0,Czas_MałyRemont, 0),0),IFERROR(IF(MOD($C80,DużyRemont) = 0,Czas_DużyRemont, 0),0)) - (12 -MiesiąceNajmu))))</f>
        <v>0</v>
      </c>
      <c r="I80" s="166">
        <f t="shared" si="3"/>
        <v>0</v>
      </c>
      <c r="J80" s="152" t="str">
        <f>IF(Tabela3[[#This Row],[Rok]]&gt;HoryzontInwestycyjny,"",IF(ZmianaKosztów="TAK",Inflacja,0))</f>
        <v/>
      </c>
      <c r="K80" s="155"/>
      <c r="L80" s="155"/>
      <c r="M80" s="155"/>
      <c r="N80" s="171" cm="1">
        <f t="array" ref="N80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80" s="171" cm="1">
        <f t="array" ref="O80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80" s="155" cm="1">
        <f t="array" ref="P80">IF(Tabela3[[#This Row],[Rok]]&gt;HoryzontInwestycyjny,0,IF(12-Tabela3[[#This Row],[Liczba wynajętych miesięcy w roku]]&gt;0, (12-Tabela3[[#This Row],[Liczba wynajętych miesięcy w roku]]) *CzynszWspólnoty* IF(ZmianaKosztów="Tak", PRODUCT(1+J$54:INDEX($J$54:J80, ROWS($D$54:D80)-1)), 1), 0))</f>
        <v>0</v>
      </c>
      <c r="Q80" s="170">
        <f>IF(Tabela3[[#This Row],[Rok]]&gt;HoryzontInwestycyjny,0,SUMIF(Kredyt!$E:$E,Tabela3[[#This Row],[Rok]],Kredyt!$I:$I))</f>
        <v>0</v>
      </c>
      <c r="R80" s="171">
        <f>IF(Tabela3[[#This Row],[Rok]]&gt;HoryzontInwestycyjny,0,SUMIF(Kredyt!$E:$E,Tabela3[[#This Row],[Rok]],Kredyt!$J:$J))</f>
        <v>0</v>
      </c>
      <c r="S80" s="155">
        <f>Tabela3[[#This Row],[Rata kredytu: odsetki]]+Tabela3[[#This Row],[Rata kredytu: kapitał]]</f>
        <v>0</v>
      </c>
      <c r="T80" s="169" cm="1">
        <f t="array" ref="T80">IF(Tabela3[[#This Row],[Rok]]&gt;HoryzontInwestycyjny,0,IFERROR(INDEX(Kredyt!$M:$M,11+Tabela3[[#This Row],[Rok]]*12) * UbezŻyć,""))</f>
        <v>0</v>
      </c>
      <c r="U80" s="155" cm="1">
        <f t="array" ref="U80">IF(Tabela3[[#This Row],[Rok]]&gt;HoryzontInwestycyjny,0,IF(CzasKredytu&gt;=Tabela3[[#This Row],[Rok]],IF(ZmianaKosztów="Tak",UbezMiesz* PRODUCT(1+J80:J80), UbezMiesz),""))</f>
        <v>0</v>
      </c>
      <c r="V80" s="155" cm="1">
        <f t="array" ref="V80">IF(Tabela3[[#This Row],[Rok]]&gt;HoryzontInwestycyjny,0,IF(ZmianaKosztów="Tak", PodatekOdNieruchomości * PRODUCT(1+J$54:J79), PodNie))</f>
        <v>0</v>
      </c>
      <c r="W80" s="155">
        <f>KosztyZarządzania*Tabela3[[#This Row],[Przychody z wynajmu]]</f>
        <v>0</v>
      </c>
      <c r="X80" s="155" cm="1">
        <f t="array" ref="X80">IF(Tabela3[[#This Row],[Rok]]&gt;HoryzontInwestycyjny,0,IF(ZmianaKosztów="Tak", InneKosztyRocznie* PRODUCT(1+J$55:J80), InneKosztyRocznie))</f>
        <v>0</v>
      </c>
      <c r="Y80" s="155">
        <f>SUM(Tabela3[[#This Row],[Cena mieszkania + remont początkowy]:[Inne koszty]])-Tabela3[[#This Row],[Rata kredytu]]</f>
        <v>0</v>
      </c>
      <c r="Z80" s="155">
        <f>IF(Tabela3[[#This Row],[Przychody z wynajmu]]&lt;=100000, Tabela3[[#This Row],[Przychody z wynajmu]]*MałyPodatek, 100000*MałyPodatek + (Tabela3[[#This Row],[Przychody z wynajmu]]-100000)*DużyPodatek)</f>
        <v>0</v>
      </c>
      <c r="AA80" s="155">
        <f>Tabela3[[#This Row],[Wydatki związane z najmem całkowite]]+Tabela3[[#This Row],[Podatek od przychodu]]</f>
        <v>0</v>
      </c>
      <c r="AB80" s="155">
        <f>IF(Tabela3[[#This Row],[Rok]]&gt;HoryzontInwestycyjny,0,Tabela3[[#This Row],[Przychody z wynajmu]]-Tabela3[[#This Row],[Wydatki związane z najmem całkowite]]-Tabela3[[#This Row],[Podatek od przychodu]])</f>
        <v>0</v>
      </c>
      <c r="AC80" s="155">
        <f>IF(Tabela3[[#This Row],[Rok]]&gt;HoryzontInwestycyjny,0,AC79+Tabela3[[#This Row],[Wynik z najmu netto rocznie]])</f>
        <v>0</v>
      </c>
      <c r="AD80" s="176" t="str">
        <f>IF(Tabela3[[#This Row],[Rok]]&gt;HoryzontInwestycyjny,"",IF(ZmianaWartościNieruchomości="Inflacyjnie",Inflacja,0))</f>
        <v/>
      </c>
      <c r="AE80" s="177" t="str">
        <f>IF(Tabela3[[#This Row],[Rok]]&gt;HoryzontInwestycyjny,"",StałyProcentZmianyWartościNieruchomości)</f>
        <v/>
      </c>
      <c r="AF80" s="178" t="str">
        <f>IF(Tabela3[[#This Row],[Rok]]&gt;HoryzontInwestycyjny,"",StałaKwotaZmianyWartościNieruchomości)</f>
        <v/>
      </c>
      <c r="AG80" s="155">
        <f>IF(Tabela3[[#This Row],[Rok]]&gt;HoryzontInwestycyjny,0,IF(ZmianaWartościNieruchomości="bez zmian",AG79,IF(ZmianaWartościNieruchomości="inflacyjnie",AG79*(1+Tabela3[[#This Row],[Inflacja3]]),IF(ZmianaWartościNieruchomości="stały %",AG79*(1+Tabela3[[#This Row],[Stały % zmiany warrtości]]),IF(ZmianaWartościNieruchomości="stała kwota",AG79+AF80,AG79)))))</f>
        <v>0</v>
      </c>
      <c r="AH80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80" s="177" cm="1">
        <f t="array" ref="AI80">Tabela3[[#This Row],[Wynik z najmu netto rocznie]]/IF(CzyKredyt="Tak",WydanaGotówka2,WydanaGotówka1)</f>
        <v>0</v>
      </c>
      <c r="AJ80" s="177" cm="1">
        <f t="array" ref="AJ80">Tabela3[[#This Row],[Wynik z najmu netto rocznie]]/IF(CzyKredyt="Tak",SumaKosztówPoczątkowychInwestycji,SumaKosztów)</f>
        <v>0</v>
      </c>
      <c r="AK80" s="155" cm="1">
        <f t="array" ref="AK80">IF(Tabela3[[#This Row],[Rok]]&gt;HoryzontInwestycyjny,0,-IF(CzyKredyt="Tak",WydanaGotówka2,WydanaGotówka1)+Tabela3[[#This Row],[Skumulowany wynik z najmu netto z najmu]])</f>
        <v>0</v>
      </c>
    </row>
    <row r="81" spans="3:37">
      <c r="C81" s="158">
        <v>28</v>
      </c>
      <c r="D81" s="152">
        <f t="shared" si="0"/>
        <v>0.02</v>
      </c>
      <c r="E81" s="152">
        <f t="shared" si="1"/>
        <v>0.04</v>
      </c>
      <c r="F81" s="167">
        <f t="shared" si="2"/>
        <v>150</v>
      </c>
      <c r="G81" s="151">
        <f>IF(Tabela3[[#This Row],[Rok]]&gt;HoryzontInwestycyjny,0,IF(ZmianaOdstępnego="bez zmian",G80,IF(ZmianaOdstępnego="inflacyjnie",G80*(1+Wyniki2!$D81),IF(ZmianaOdstępnego="stały %",G80*(1+Wyniki2!$E81),IF(ZmianaOdstępnego="stała kwota",G80+Wyniki2!$F81,)))))</f>
        <v>0</v>
      </c>
      <c r="H81" s="165">
        <f>IF(Tabela3[[#This Row],[Rok]]&gt;HoryzontInwestycyjny,0,MAX(0, MiesiąceNajmu - MAX(0, MAX(IFERROR(IF(MOD($C81, MałyRemont) = 0,Czas_MałyRemont, 0),0),IFERROR(IF(MOD($C81,DużyRemont) = 0,Czas_DużyRemont, 0),0)) - (12 -MiesiąceNajmu))))</f>
        <v>0</v>
      </c>
      <c r="I81" s="166">
        <f t="shared" si="3"/>
        <v>0</v>
      </c>
      <c r="J81" s="152" t="str">
        <f>IF(Tabela3[[#This Row],[Rok]]&gt;HoryzontInwestycyjny,"",IF(ZmianaKosztów="TAK",Inflacja,0))</f>
        <v/>
      </c>
      <c r="K81" s="155"/>
      <c r="L81" s="155"/>
      <c r="M81" s="155"/>
      <c r="N81" s="171" cm="1">
        <f t="array" ref="N81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81" s="171" cm="1">
        <f t="array" ref="O81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81" s="155" cm="1">
        <f t="array" ref="P81">IF(Tabela3[[#This Row],[Rok]]&gt;HoryzontInwestycyjny,0,IF(12-Tabela3[[#This Row],[Liczba wynajętych miesięcy w roku]]&gt;0, (12-Tabela3[[#This Row],[Liczba wynajętych miesięcy w roku]]) *CzynszWspólnoty* IF(ZmianaKosztów="Tak", PRODUCT(1+J$54:INDEX($J$54:J81, ROWS($D$54:D81)-1)), 1), 0))</f>
        <v>0</v>
      </c>
      <c r="Q81" s="170">
        <f>IF(Tabela3[[#This Row],[Rok]]&gt;HoryzontInwestycyjny,0,SUMIF(Kredyt!$E:$E,Tabela3[[#This Row],[Rok]],Kredyt!$I:$I))</f>
        <v>0</v>
      </c>
      <c r="R81" s="171">
        <f>IF(Tabela3[[#This Row],[Rok]]&gt;HoryzontInwestycyjny,0,SUMIF(Kredyt!$E:$E,Tabela3[[#This Row],[Rok]],Kredyt!$J:$J))</f>
        <v>0</v>
      </c>
      <c r="S81" s="155">
        <f>Tabela3[[#This Row],[Rata kredytu: odsetki]]+Tabela3[[#This Row],[Rata kredytu: kapitał]]</f>
        <v>0</v>
      </c>
      <c r="T81" s="169" cm="1">
        <f t="array" ref="T81">IF(Tabela3[[#This Row],[Rok]]&gt;HoryzontInwestycyjny,0,IFERROR(INDEX(Kredyt!$M:$M,11+Tabela3[[#This Row],[Rok]]*12) * UbezŻyć,""))</f>
        <v>0</v>
      </c>
      <c r="U81" s="155" cm="1">
        <f t="array" ref="U81">IF(Tabela3[[#This Row],[Rok]]&gt;HoryzontInwestycyjny,0,IF(CzasKredytu&gt;=Tabela3[[#This Row],[Rok]],IF(ZmianaKosztów="Tak",UbezMiesz* PRODUCT(1+J81:J81), UbezMiesz),""))</f>
        <v>0</v>
      </c>
      <c r="V81" s="155" cm="1">
        <f t="array" ref="V81">IF(Tabela3[[#This Row],[Rok]]&gt;HoryzontInwestycyjny,0,IF(ZmianaKosztów="Tak", PodatekOdNieruchomości * PRODUCT(1+J$54:J80), PodNie))</f>
        <v>0</v>
      </c>
      <c r="W81" s="155">
        <f>KosztyZarządzania*Tabela3[[#This Row],[Przychody z wynajmu]]</f>
        <v>0</v>
      </c>
      <c r="X81" s="155" cm="1">
        <f t="array" ref="X81">IF(Tabela3[[#This Row],[Rok]]&gt;HoryzontInwestycyjny,0,IF(ZmianaKosztów="Tak", InneKosztyRocznie* PRODUCT(1+J$55:J81), InneKosztyRocznie))</f>
        <v>0</v>
      </c>
      <c r="Y81" s="155">
        <f>SUM(Tabela3[[#This Row],[Cena mieszkania + remont początkowy]:[Inne koszty]])-Tabela3[[#This Row],[Rata kredytu]]</f>
        <v>0</v>
      </c>
      <c r="Z81" s="155">
        <f>IF(Tabela3[[#This Row],[Przychody z wynajmu]]&lt;=100000, Tabela3[[#This Row],[Przychody z wynajmu]]*MałyPodatek, 100000*MałyPodatek + (Tabela3[[#This Row],[Przychody z wynajmu]]-100000)*DużyPodatek)</f>
        <v>0</v>
      </c>
      <c r="AA81" s="155">
        <f>Tabela3[[#This Row],[Wydatki związane z najmem całkowite]]+Tabela3[[#This Row],[Podatek od przychodu]]</f>
        <v>0</v>
      </c>
      <c r="AB81" s="155">
        <f>IF(Tabela3[[#This Row],[Rok]]&gt;HoryzontInwestycyjny,0,Tabela3[[#This Row],[Przychody z wynajmu]]-Tabela3[[#This Row],[Wydatki związane z najmem całkowite]]-Tabela3[[#This Row],[Podatek od przychodu]])</f>
        <v>0</v>
      </c>
      <c r="AC81" s="155">
        <f>IF(Tabela3[[#This Row],[Rok]]&gt;HoryzontInwestycyjny,0,AC80+Tabela3[[#This Row],[Wynik z najmu netto rocznie]])</f>
        <v>0</v>
      </c>
      <c r="AD81" s="176" t="str">
        <f>IF(Tabela3[[#This Row],[Rok]]&gt;HoryzontInwestycyjny,"",IF(ZmianaWartościNieruchomości="Inflacyjnie",Inflacja,0))</f>
        <v/>
      </c>
      <c r="AE81" s="177" t="str">
        <f>IF(Tabela3[[#This Row],[Rok]]&gt;HoryzontInwestycyjny,"",StałyProcentZmianyWartościNieruchomości)</f>
        <v/>
      </c>
      <c r="AF81" s="178" t="str">
        <f>IF(Tabela3[[#This Row],[Rok]]&gt;HoryzontInwestycyjny,"",StałaKwotaZmianyWartościNieruchomości)</f>
        <v/>
      </c>
      <c r="AG81" s="155">
        <f>IF(Tabela3[[#This Row],[Rok]]&gt;HoryzontInwestycyjny,0,IF(ZmianaWartościNieruchomości="bez zmian",AG80,IF(ZmianaWartościNieruchomości="inflacyjnie",AG80*(1+Tabela3[[#This Row],[Inflacja3]]),IF(ZmianaWartościNieruchomości="stały %",AG80*(1+Tabela3[[#This Row],[Stały % zmiany warrtości]]),IF(ZmianaWartościNieruchomości="stała kwota",AG80+AF81,AG80)))))</f>
        <v>0</v>
      </c>
      <c r="AH81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81" s="177" cm="1">
        <f t="array" ref="AI81">Tabela3[[#This Row],[Wynik z najmu netto rocznie]]/IF(CzyKredyt="Tak",WydanaGotówka2,WydanaGotówka1)</f>
        <v>0</v>
      </c>
      <c r="AJ81" s="177" cm="1">
        <f t="array" ref="AJ81">Tabela3[[#This Row],[Wynik z najmu netto rocznie]]/IF(CzyKredyt="Tak",SumaKosztówPoczątkowychInwestycji,SumaKosztów)</f>
        <v>0</v>
      </c>
      <c r="AK81" s="155" cm="1">
        <f t="array" ref="AK81">IF(Tabela3[[#This Row],[Rok]]&gt;HoryzontInwestycyjny,0,-IF(CzyKredyt="Tak",WydanaGotówka2,WydanaGotówka1)+Tabela3[[#This Row],[Skumulowany wynik z najmu netto z najmu]])</f>
        <v>0</v>
      </c>
    </row>
    <row r="82" spans="3:37">
      <c r="C82" s="158">
        <v>29</v>
      </c>
      <c r="D82" s="152">
        <f t="shared" si="0"/>
        <v>0.02</v>
      </c>
      <c r="E82" s="152">
        <f t="shared" si="1"/>
        <v>0.04</v>
      </c>
      <c r="F82" s="167">
        <f t="shared" si="2"/>
        <v>150</v>
      </c>
      <c r="G82" s="151">
        <f>IF(Tabela3[[#This Row],[Rok]]&gt;HoryzontInwestycyjny,0,IF(ZmianaOdstępnego="bez zmian",G81,IF(ZmianaOdstępnego="inflacyjnie",G81*(1+Wyniki2!$D82),IF(ZmianaOdstępnego="stały %",G81*(1+Wyniki2!$E82),IF(ZmianaOdstępnego="stała kwota",G81+Wyniki2!$F82,)))))</f>
        <v>0</v>
      </c>
      <c r="H82" s="165">
        <f>IF(Tabela3[[#This Row],[Rok]]&gt;HoryzontInwestycyjny,0,MAX(0, MiesiąceNajmu - MAX(0, MAX(IFERROR(IF(MOD($C82, MałyRemont) = 0,Czas_MałyRemont, 0),0),IFERROR(IF(MOD($C82,DużyRemont) = 0,Czas_DużyRemont, 0),0)) - (12 -MiesiąceNajmu))))</f>
        <v>0</v>
      </c>
      <c r="I82" s="166">
        <f t="shared" si="3"/>
        <v>0</v>
      </c>
      <c r="J82" s="152" t="str">
        <f>IF(Tabela3[[#This Row],[Rok]]&gt;HoryzontInwestycyjny,"",IF(ZmianaKosztów="TAK",Inflacja,0))</f>
        <v/>
      </c>
      <c r="K82" s="155"/>
      <c r="L82" s="155"/>
      <c r="M82" s="155"/>
      <c r="N82" s="171" cm="1">
        <f t="array" ref="N82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82" s="171" cm="1">
        <f t="array" ref="O82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82" s="155" cm="1">
        <f t="array" ref="P82">IF(Tabela3[[#This Row],[Rok]]&gt;HoryzontInwestycyjny,0,IF(12-Tabela3[[#This Row],[Liczba wynajętych miesięcy w roku]]&gt;0, (12-Tabela3[[#This Row],[Liczba wynajętych miesięcy w roku]]) *CzynszWspólnoty* IF(ZmianaKosztów="Tak", PRODUCT(1+J$54:INDEX($J$54:J82, ROWS($D$54:D82)-1)), 1), 0))</f>
        <v>0</v>
      </c>
      <c r="Q82" s="170">
        <f>IF(Tabela3[[#This Row],[Rok]]&gt;HoryzontInwestycyjny,0,SUMIF(Kredyt!$E:$E,Tabela3[[#This Row],[Rok]],Kredyt!$I:$I))</f>
        <v>0</v>
      </c>
      <c r="R82" s="171">
        <f>IF(Tabela3[[#This Row],[Rok]]&gt;HoryzontInwestycyjny,0,SUMIF(Kredyt!$E:$E,Tabela3[[#This Row],[Rok]],Kredyt!$J:$J))</f>
        <v>0</v>
      </c>
      <c r="S82" s="155">
        <f>Tabela3[[#This Row],[Rata kredytu: odsetki]]+Tabela3[[#This Row],[Rata kredytu: kapitał]]</f>
        <v>0</v>
      </c>
      <c r="T82" s="169" cm="1">
        <f t="array" ref="T82">IF(Tabela3[[#This Row],[Rok]]&gt;HoryzontInwestycyjny,0,IFERROR(INDEX(Kredyt!$M:$M,11+Tabela3[[#This Row],[Rok]]*12) * UbezŻyć,""))</f>
        <v>0</v>
      </c>
      <c r="U82" s="155" cm="1">
        <f t="array" ref="U82">IF(Tabela3[[#This Row],[Rok]]&gt;HoryzontInwestycyjny,0,IF(CzasKredytu&gt;=Tabela3[[#This Row],[Rok]],IF(ZmianaKosztów="Tak",UbezMiesz* PRODUCT(1+J82:J82), UbezMiesz),""))</f>
        <v>0</v>
      </c>
      <c r="V82" s="155" cm="1">
        <f t="array" ref="V82">IF(Tabela3[[#This Row],[Rok]]&gt;HoryzontInwestycyjny,0,IF(ZmianaKosztów="Tak", PodatekOdNieruchomości * PRODUCT(1+J$54:J81), PodNie))</f>
        <v>0</v>
      </c>
      <c r="W82" s="155">
        <f>KosztyZarządzania*Tabela3[[#This Row],[Przychody z wynajmu]]</f>
        <v>0</v>
      </c>
      <c r="X82" s="155" cm="1">
        <f t="array" ref="X82">IF(Tabela3[[#This Row],[Rok]]&gt;HoryzontInwestycyjny,0,IF(ZmianaKosztów="Tak", InneKosztyRocznie* PRODUCT(1+J$55:J82), InneKosztyRocznie))</f>
        <v>0</v>
      </c>
      <c r="Y82" s="155">
        <f>SUM(Tabela3[[#This Row],[Cena mieszkania + remont początkowy]:[Inne koszty]])-Tabela3[[#This Row],[Rata kredytu]]</f>
        <v>0</v>
      </c>
      <c r="Z82" s="155">
        <f>IF(Tabela3[[#This Row],[Przychody z wynajmu]]&lt;=100000, Tabela3[[#This Row],[Przychody z wynajmu]]*MałyPodatek, 100000*MałyPodatek + (Tabela3[[#This Row],[Przychody z wynajmu]]-100000)*DużyPodatek)</f>
        <v>0</v>
      </c>
      <c r="AA82" s="155">
        <f>Tabela3[[#This Row],[Wydatki związane z najmem całkowite]]+Tabela3[[#This Row],[Podatek od przychodu]]</f>
        <v>0</v>
      </c>
      <c r="AB82" s="155">
        <f>IF(Tabela3[[#This Row],[Rok]]&gt;HoryzontInwestycyjny,0,Tabela3[[#This Row],[Przychody z wynajmu]]-Tabela3[[#This Row],[Wydatki związane z najmem całkowite]]-Tabela3[[#This Row],[Podatek od przychodu]])</f>
        <v>0</v>
      </c>
      <c r="AC82" s="155">
        <f>IF(Tabela3[[#This Row],[Rok]]&gt;HoryzontInwestycyjny,0,AC81+Tabela3[[#This Row],[Wynik z najmu netto rocznie]])</f>
        <v>0</v>
      </c>
      <c r="AD82" s="176" t="str">
        <f>IF(Tabela3[[#This Row],[Rok]]&gt;HoryzontInwestycyjny,"",IF(ZmianaWartościNieruchomości="Inflacyjnie",Inflacja,0))</f>
        <v/>
      </c>
      <c r="AE82" s="177" t="str">
        <f>IF(Tabela3[[#This Row],[Rok]]&gt;HoryzontInwestycyjny,"",StałyProcentZmianyWartościNieruchomości)</f>
        <v/>
      </c>
      <c r="AF82" s="178" t="str">
        <f>IF(Tabela3[[#This Row],[Rok]]&gt;HoryzontInwestycyjny,"",StałaKwotaZmianyWartościNieruchomości)</f>
        <v/>
      </c>
      <c r="AG82" s="155">
        <f>IF(Tabela3[[#This Row],[Rok]]&gt;HoryzontInwestycyjny,0,IF(ZmianaWartościNieruchomości="bez zmian",AG81,IF(ZmianaWartościNieruchomości="inflacyjnie",AG81*(1+Tabela3[[#This Row],[Inflacja3]]),IF(ZmianaWartościNieruchomości="stały %",AG81*(1+Tabela3[[#This Row],[Stały % zmiany warrtości]]),IF(ZmianaWartościNieruchomości="stała kwota",AG81+AF82,AG81)))))</f>
        <v>0</v>
      </c>
      <c r="AH82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82" s="177" cm="1">
        <f t="array" ref="AI82">Tabela3[[#This Row],[Wynik z najmu netto rocznie]]/IF(CzyKredyt="Tak",WydanaGotówka2,WydanaGotówka1)</f>
        <v>0</v>
      </c>
      <c r="AJ82" s="177" cm="1">
        <f t="array" ref="AJ82">Tabela3[[#This Row],[Wynik z najmu netto rocznie]]/IF(CzyKredyt="Tak",SumaKosztówPoczątkowychInwestycji,SumaKosztów)</f>
        <v>0</v>
      </c>
      <c r="AK82" s="155" cm="1">
        <f t="array" ref="AK82">IF(Tabela3[[#This Row],[Rok]]&gt;HoryzontInwestycyjny,0,-IF(CzyKredyt="Tak",WydanaGotówka2,WydanaGotówka1)+Tabela3[[#This Row],[Skumulowany wynik z najmu netto z najmu]])</f>
        <v>0</v>
      </c>
    </row>
    <row r="83" spans="3:37">
      <c r="C83" s="158">
        <v>30</v>
      </c>
      <c r="D83" s="152">
        <f t="shared" si="0"/>
        <v>0.02</v>
      </c>
      <c r="E83" s="152">
        <f t="shared" si="1"/>
        <v>0.04</v>
      </c>
      <c r="F83" s="167">
        <f t="shared" si="2"/>
        <v>150</v>
      </c>
      <c r="G83" s="151">
        <f>IF(Tabela3[[#This Row],[Rok]]&gt;HoryzontInwestycyjny,0,IF(ZmianaOdstępnego="bez zmian",G82,IF(ZmianaOdstępnego="inflacyjnie",G82*(1+Wyniki2!$D83),IF(ZmianaOdstępnego="stały %",G82*(1+Wyniki2!$E83),IF(ZmianaOdstępnego="stała kwota",G82+Wyniki2!$F83,)))))</f>
        <v>0</v>
      </c>
      <c r="H83" s="165">
        <f>IF(Tabela3[[#This Row],[Rok]]&gt;HoryzontInwestycyjny,0,MAX(0, MiesiąceNajmu - MAX(0, MAX(IFERROR(IF(MOD($C83, MałyRemont) = 0,Czas_MałyRemont, 0),0),IFERROR(IF(MOD($C83,DużyRemont) = 0,Czas_DużyRemont, 0),0)) - (12 -MiesiąceNajmu))))</f>
        <v>0</v>
      </c>
      <c r="I83" s="166">
        <f t="shared" si="3"/>
        <v>0</v>
      </c>
      <c r="J83" s="152" t="str">
        <f>IF(Tabela3[[#This Row],[Rok]]&gt;HoryzontInwestycyjny,"",IF(ZmianaKosztów="TAK",Inflacja,0))</f>
        <v/>
      </c>
      <c r="K83" s="155"/>
      <c r="L83" s="155"/>
      <c r="M83" s="155"/>
      <c r="N83" s="171" cm="1">
        <f t="array" ref="N83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83" s="171" cm="1">
        <f t="array" ref="O83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83" s="155" cm="1">
        <f t="array" ref="P83">IF(Tabela3[[#This Row],[Rok]]&gt;HoryzontInwestycyjny,0,IF(12-Tabela3[[#This Row],[Liczba wynajętych miesięcy w roku]]&gt;0, (12-Tabela3[[#This Row],[Liczba wynajętych miesięcy w roku]]) *CzynszWspólnoty* IF(ZmianaKosztów="Tak", PRODUCT(1+J$54:INDEX($J$54:J83, ROWS($D$54:D83)-1)), 1), 0))</f>
        <v>0</v>
      </c>
      <c r="Q83" s="170">
        <f>IF(Tabela3[[#This Row],[Rok]]&gt;HoryzontInwestycyjny,0,SUMIF(Kredyt!$E:$E,Tabela3[[#This Row],[Rok]],Kredyt!$I:$I))</f>
        <v>0</v>
      </c>
      <c r="R83" s="171">
        <f>IF(Tabela3[[#This Row],[Rok]]&gt;HoryzontInwestycyjny,0,SUMIF(Kredyt!$E:$E,Tabela3[[#This Row],[Rok]],Kredyt!$J:$J))</f>
        <v>0</v>
      </c>
      <c r="S83" s="155">
        <f>Tabela3[[#This Row],[Rata kredytu: odsetki]]+Tabela3[[#This Row],[Rata kredytu: kapitał]]</f>
        <v>0</v>
      </c>
      <c r="T83" s="169" cm="1">
        <f t="array" ref="T83">IF(Tabela3[[#This Row],[Rok]]&gt;HoryzontInwestycyjny,0,IFERROR(INDEX(Kredyt!$M:$M,11+Tabela3[[#This Row],[Rok]]*12) * UbezŻyć,""))</f>
        <v>0</v>
      </c>
      <c r="U83" s="155" cm="1">
        <f t="array" ref="U83">IF(Tabela3[[#This Row],[Rok]]&gt;HoryzontInwestycyjny,0,IF(CzasKredytu&gt;=Tabela3[[#This Row],[Rok]],IF(ZmianaKosztów="Tak",UbezMiesz* PRODUCT(1+J83:J83), UbezMiesz),""))</f>
        <v>0</v>
      </c>
      <c r="V83" s="155" cm="1">
        <f t="array" ref="V83">IF(Tabela3[[#This Row],[Rok]]&gt;HoryzontInwestycyjny,0,IF(ZmianaKosztów="Tak", PodatekOdNieruchomości * PRODUCT(1+J$54:J82), PodNie))</f>
        <v>0</v>
      </c>
      <c r="W83" s="155">
        <f>KosztyZarządzania*Tabela3[[#This Row],[Przychody z wynajmu]]</f>
        <v>0</v>
      </c>
      <c r="X83" s="155" cm="1">
        <f t="array" ref="X83">IF(Tabela3[[#This Row],[Rok]]&gt;HoryzontInwestycyjny,0,IF(ZmianaKosztów="Tak", InneKosztyRocznie* PRODUCT(1+J$55:J83), InneKosztyRocznie))</f>
        <v>0</v>
      </c>
      <c r="Y83" s="155">
        <f>SUM(Tabela3[[#This Row],[Cena mieszkania + remont początkowy]:[Inne koszty]])-Tabela3[[#This Row],[Rata kredytu]]</f>
        <v>0</v>
      </c>
      <c r="Z83" s="155">
        <f>IF(Tabela3[[#This Row],[Przychody z wynajmu]]&lt;=100000, Tabela3[[#This Row],[Przychody z wynajmu]]*MałyPodatek, 100000*MałyPodatek + (Tabela3[[#This Row],[Przychody z wynajmu]]-100000)*DużyPodatek)</f>
        <v>0</v>
      </c>
      <c r="AA83" s="155">
        <f>Tabela3[[#This Row],[Wydatki związane z najmem całkowite]]+Tabela3[[#This Row],[Podatek od przychodu]]</f>
        <v>0</v>
      </c>
      <c r="AB83" s="155">
        <f>IF(Tabela3[[#This Row],[Rok]]&gt;HoryzontInwestycyjny,0,Tabela3[[#This Row],[Przychody z wynajmu]]-Tabela3[[#This Row],[Wydatki związane z najmem całkowite]]-Tabela3[[#This Row],[Podatek od przychodu]])</f>
        <v>0</v>
      </c>
      <c r="AC83" s="155">
        <f>IF(Tabela3[[#This Row],[Rok]]&gt;HoryzontInwestycyjny,0,AC82+Tabela3[[#This Row],[Wynik z najmu netto rocznie]])</f>
        <v>0</v>
      </c>
      <c r="AD83" s="176" t="str">
        <f>IF(Tabela3[[#This Row],[Rok]]&gt;HoryzontInwestycyjny,"",IF(ZmianaWartościNieruchomości="Inflacyjnie",Inflacja,0))</f>
        <v/>
      </c>
      <c r="AE83" s="177" t="str">
        <f>IF(Tabela3[[#This Row],[Rok]]&gt;HoryzontInwestycyjny,"",StałyProcentZmianyWartościNieruchomości)</f>
        <v/>
      </c>
      <c r="AF83" s="178" t="str">
        <f>IF(Tabela3[[#This Row],[Rok]]&gt;HoryzontInwestycyjny,"",StałaKwotaZmianyWartościNieruchomości)</f>
        <v/>
      </c>
      <c r="AG83" s="155">
        <f>IF(Tabela3[[#This Row],[Rok]]&gt;HoryzontInwestycyjny,0,IF(ZmianaWartościNieruchomości="bez zmian",AG82,IF(ZmianaWartościNieruchomości="inflacyjnie",AG82*(1+Tabela3[[#This Row],[Inflacja3]]),IF(ZmianaWartościNieruchomości="stały %",AG82*(1+Tabela3[[#This Row],[Stały % zmiany warrtości]]),IF(ZmianaWartościNieruchomości="stała kwota",AG82+AF83,AG82)))))</f>
        <v>0</v>
      </c>
      <c r="AH83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83" s="177" cm="1">
        <f t="array" ref="AI83">Tabela3[[#This Row],[Wynik z najmu netto rocznie]]/IF(CzyKredyt="Tak",WydanaGotówka2,WydanaGotówka1)</f>
        <v>0</v>
      </c>
      <c r="AJ83" s="177" cm="1">
        <f t="array" ref="AJ83">Tabela3[[#This Row],[Wynik z najmu netto rocznie]]/IF(CzyKredyt="Tak",SumaKosztówPoczątkowychInwestycji,SumaKosztów)</f>
        <v>0</v>
      </c>
      <c r="AK83" s="155" cm="1">
        <f t="array" ref="AK83">IF(Tabela3[[#This Row],[Rok]]&gt;HoryzontInwestycyjny,0,-IF(CzyKredyt="Tak",WydanaGotówka2,WydanaGotówka1)+Tabela3[[#This Row],[Skumulowany wynik z najmu netto z najmu]])</f>
        <v>0</v>
      </c>
    </row>
    <row r="84" spans="3:37">
      <c r="C84" s="158">
        <v>31</v>
      </c>
      <c r="D84" s="152">
        <f t="shared" si="0"/>
        <v>0.02</v>
      </c>
      <c r="E84" s="152">
        <f t="shared" si="1"/>
        <v>0.04</v>
      </c>
      <c r="F84" s="167">
        <f t="shared" si="2"/>
        <v>150</v>
      </c>
      <c r="G84" s="151">
        <f>IF(Tabela3[[#This Row],[Rok]]&gt;HoryzontInwestycyjny,0,IF(ZmianaOdstępnego="bez zmian",G83,IF(ZmianaOdstępnego="inflacyjnie",G83*(1+Wyniki2!$D84),IF(ZmianaOdstępnego="stały %",G83*(1+Wyniki2!$E84),IF(ZmianaOdstępnego="stała kwota",G83+Wyniki2!$F84,)))))</f>
        <v>0</v>
      </c>
      <c r="H84" s="165">
        <f>IF(Tabela3[[#This Row],[Rok]]&gt;HoryzontInwestycyjny,0,MAX(0, MiesiąceNajmu - MAX(0, MAX(IFERROR(IF(MOD($C84, MałyRemont) = 0,Czas_MałyRemont, 0),0),IFERROR(IF(MOD($C84,DużyRemont) = 0,Czas_DużyRemont, 0),0)) - (12 -MiesiąceNajmu))))</f>
        <v>0</v>
      </c>
      <c r="I84" s="166">
        <f t="shared" si="3"/>
        <v>0</v>
      </c>
      <c r="J84" s="152" t="str">
        <f>IF(Tabela3[[#This Row],[Rok]]&gt;HoryzontInwestycyjny,"",IF(ZmianaKosztów="TAK",Inflacja,0))</f>
        <v/>
      </c>
      <c r="K84" s="155"/>
      <c r="L84" s="155"/>
      <c r="M84" s="155"/>
      <c r="N84" s="171" cm="1">
        <f t="array" ref="N84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84" s="171" cm="1">
        <f t="array" ref="O84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84" s="155" cm="1">
        <f t="array" ref="P84">IF(Tabela3[[#This Row],[Rok]]&gt;HoryzontInwestycyjny,0,IF(12-Tabela3[[#This Row],[Liczba wynajętych miesięcy w roku]]&gt;0, (12-Tabela3[[#This Row],[Liczba wynajętych miesięcy w roku]]) *CzynszWspólnoty* IF(ZmianaKosztów="Tak", PRODUCT(1+J$54:INDEX($J$54:J84, ROWS($D$54:D84)-1)), 1), 0))</f>
        <v>0</v>
      </c>
      <c r="Q84" s="170">
        <f>IF(Tabela3[[#This Row],[Rok]]&gt;HoryzontInwestycyjny,0,SUMIF(Kredyt!$E:$E,Tabela3[[#This Row],[Rok]],Kredyt!$I:$I))</f>
        <v>0</v>
      </c>
      <c r="R84" s="171">
        <f>IF(Tabela3[[#This Row],[Rok]]&gt;HoryzontInwestycyjny,0,SUMIF(Kredyt!$E:$E,Tabela3[[#This Row],[Rok]],Kredyt!$J:$J))</f>
        <v>0</v>
      </c>
      <c r="S84" s="155">
        <f>Tabela3[[#This Row],[Rata kredytu: odsetki]]+Tabela3[[#This Row],[Rata kredytu: kapitał]]</f>
        <v>0</v>
      </c>
      <c r="T84" s="169" cm="1">
        <f t="array" ref="T84">IF(Tabela3[[#This Row],[Rok]]&gt;HoryzontInwestycyjny,0,IFERROR(INDEX(Kredyt!$M:$M,11+Tabela3[[#This Row],[Rok]]*12) * UbezŻyć,""))</f>
        <v>0</v>
      </c>
      <c r="U84" s="155" cm="1">
        <f t="array" ref="U84">IF(Tabela3[[#This Row],[Rok]]&gt;HoryzontInwestycyjny,0,IF(CzasKredytu&gt;=Tabela3[[#This Row],[Rok]],IF(ZmianaKosztów="Tak",UbezMiesz* PRODUCT(1+J84:J84), UbezMiesz),""))</f>
        <v>0</v>
      </c>
      <c r="V84" s="155" cm="1">
        <f t="array" ref="V84">IF(Tabela3[[#This Row],[Rok]]&gt;HoryzontInwestycyjny,0,IF(ZmianaKosztów="Tak", PodatekOdNieruchomości * PRODUCT(1+J$54:J83), PodNie))</f>
        <v>0</v>
      </c>
      <c r="W84" s="155">
        <f>KosztyZarządzania*Tabela3[[#This Row],[Przychody z wynajmu]]</f>
        <v>0</v>
      </c>
      <c r="X84" s="155" cm="1">
        <f t="array" ref="X84">IF(Tabela3[[#This Row],[Rok]]&gt;HoryzontInwestycyjny,0,IF(ZmianaKosztów="Tak", InneKosztyRocznie* PRODUCT(1+J$55:J84), InneKosztyRocznie))</f>
        <v>0</v>
      </c>
      <c r="Y84" s="155">
        <f>SUM(Tabela3[[#This Row],[Cena mieszkania + remont początkowy]:[Inne koszty]])-Tabela3[[#This Row],[Rata kredytu]]</f>
        <v>0</v>
      </c>
      <c r="Z84" s="155">
        <f>IF(Tabela3[[#This Row],[Przychody z wynajmu]]&lt;=100000, Tabela3[[#This Row],[Przychody z wynajmu]]*MałyPodatek, 100000*MałyPodatek + (Tabela3[[#This Row],[Przychody z wynajmu]]-100000)*DużyPodatek)</f>
        <v>0</v>
      </c>
      <c r="AA84" s="155">
        <f>Tabela3[[#This Row],[Wydatki związane z najmem całkowite]]+Tabela3[[#This Row],[Podatek od przychodu]]</f>
        <v>0</v>
      </c>
      <c r="AB84" s="155">
        <f>IF(Tabela3[[#This Row],[Rok]]&gt;HoryzontInwestycyjny,0,Tabela3[[#This Row],[Przychody z wynajmu]]-Tabela3[[#This Row],[Wydatki związane z najmem całkowite]]-Tabela3[[#This Row],[Podatek od przychodu]])</f>
        <v>0</v>
      </c>
      <c r="AC84" s="155">
        <f>IF(Tabela3[[#This Row],[Rok]]&gt;HoryzontInwestycyjny,0,AC83+Tabela3[[#This Row],[Wynik z najmu netto rocznie]])</f>
        <v>0</v>
      </c>
      <c r="AD84" s="176" t="str">
        <f>IF(Tabela3[[#This Row],[Rok]]&gt;HoryzontInwestycyjny,"",IF(ZmianaWartościNieruchomości="Inflacyjnie",Inflacja,0))</f>
        <v/>
      </c>
      <c r="AE84" s="177" t="str">
        <f>IF(Tabela3[[#This Row],[Rok]]&gt;HoryzontInwestycyjny,"",StałyProcentZmianyWartościNieruchomości)</f>
        <v/>
      </c>
      <c r="AF84" s="178" t="str">
        <f>IF(Tabela3[[#This Row],[Rok]]&gt;HoryzontInwestycyjny,"",StałaKwotaZmianyWartościNieruchomości)</f>
        <v/>
      </c>
      <c r="AG84" s="155">
        <f>IF(Tabela3[[#This Row],[Rok]]&gt;HoryzontInwestycyjny,0,IF(ZmianaWartościNieruchomości="bez zmian",AG83,IF(ZmianaWartościNieruchomości="inflacyjnie",AG83*(1+Tabela3[[#This Row],[Inflacja3]]),IF(ZmianaWartościNieruchomości="stały %",AG83*(1+Tabela3[[#This Row],[Stały % zmiany warrtości]]),IF(ZmianaWartościNieruchomości="stała kwota",AG83+AF84,AG83)))))</f>
        <v>0</v>
      </c>
      <c r="AH84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84" s="177" cm="1">
        <f t="array" ref="AI84">Tabela3[[#This Row],[Wynik z najmu netto rocznie]]/IF(CzyKredyt="Tak",WydanaGotówka2,WydanaGotówka1)</f>
        <v>0</v>
      </c>
      <c r="AJ84" s="177" cm="1">
        <f t="array" ref="AJ84">Tabela3[[#This Row],[Wynik z najmu netto rocznie]]/IF(CzyKredyt="Tak",SumaKosztówPoczątkowychInwestycji,SumaKosztów)</f>
        <v>0</v>
      </c>
      <c r="AK84" s="155" cm="1">
        <f t="array" ref="AK84">IF(Tabela3[[#This Row],[Rok]]&gt;HoryzontInwestycyjny,0,-IF(CzyKredyt="Tak",WydanaGotówka2,WydanaGotówka1)+Tabela3[[#This Row],[Skumulowany wynik z najmu netto z najmu]])</f>
        <v>0</v>
      </c>
    </row>
    <row r="85" spans="3:37">
      <c r="C85" s="158">
        <v>32</v>
      </c>
      <c r="D85" s="152">
        <f t="shared" si="0"/>
        <v>0.02</v>
      </c>
      <c r="E85" s="152">
        <f t="shared" si="1"/>
        <v>0.04</v>
      </c>
      <c r="F85" s="167">
        <f t="shared" si="2"/>
        <v>150</v>
      </c>
      <c r="G85" s="151">
        <f>IF(Tabela3[[#This Row],[Rok]]&gt;HoryzontInwestycyjny,0,IF(ZmianaOdstępnego="bez zmian",G84,IF(ZmianaOdstępnego="inflacyjnie",G84*(1+Wyniki2!$D85),IF(ZmianaOdstępnego="stały %",G84*(1+Wyniki2!$E85),IF(ZmianaOdstępnego="stała kwota",G84+Wyniki2!$F85,)))))</f>
        <v>0</v>
      </c>
      <c r="H85" s="165">
        <f>IF(Tabela3[[#This Row],[Rok]]&gt;HoryzontInwestycyjny,0,MAX(0, MiesiąceNajmu - MAX(0, MAX(IFERROR(IF(MOD($C85, MałyRemont) = 0,Czas_MałyRemont, 0),0),IFERROR(IF(MOD($C85,DużyRemont) = 0,Czas_DużyRemont, 0),0)) - (12 -MiesiąceNajmu))))</f>
        <v>0</v>
      </c>
      <c r="I85" s="166">
        <f t="shared" si="3"/>
        <v>0</v>
      </c>
      <c r="J85" s="152" t="str">
        <f>IF(Tabela3[[#This Row],[Rok]]&gt;HoryzontInwestycyjny,"",IF(ZmianaKosztów="TAK",Inflacja,0))</f>
        <v/>
      </c>
      <c r="K85" s="155"/>
      <c r="L85" s="155"/>
      <c r="M85" s="155"/>
      <c r="N85" s="171" cm="1">
        <f t="array" ref="N85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85" s="171" cm="1">
        <f t="array" ref="O85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85" s="155" cm="1">
        <f t="array" ref="P85">IF(Tabela3[[#This Row],[Rok]]&gt;HoryzontInwestycyjny,0,IF(12-Tabela3[[#This Row],[Liczba wynajętych miesięcy w roku]]&gt;0, (12-Tabela3[[#This Row],[Liczba wynajętych miesięcy w roku]]) *CzynszWspólnoty* IF(ZmianaKosztów="Tak", PRODUCT(1+J$54:INDEX($J$54:J85, ROWS($D$54:D85)-1)), 1), 0))</f>
        <v>0</v>
      </c>
      <c r="Q85" s="170">
        <f>IF(Tabela3[[#This Row],[Rok]]&gt;HoryzontInwestycyjny,0,SUMIF(Kredyt!$E:$E,Tabela3[[#This Row],[Rok]],Kredyt!$I:$I))</f>
        <v>0</v>
      </c>
      <c r="R85" s="171">
        <f>IF(Tabela3[[#This Row],[Rok]]&gt;HoryzontInwestycyjny,0,SUMIF(Kredyt!$E:$E,Tabela3[[#This Row],[Rok]],Kredyt!$J:$J))</f>
        <v>0</v>
      </c>
      <c r="S85" s="155">
        <f>Tabela3[[#This Row],[Rata kredytu: odsetki]]+Tabela3[[#This Row],[Rata kredytu: kapitał]]</f>
        <v>0</v>
      </c>
      <c r="T85" s="169" cm="1">
        <f t="array" ref="T85">IF(Tabela3[[#This Row],[Rok]]&gt;HoryzontInwestycyjny,0,IFERROR(INDEX(Kredyt!$M:$M,11+Tabela3[[#This Row],[Rok]]*12) * UbezŻyć,""))</f>
        <v>0</v>
      </c>
      <c r="U85" s="155" cm="1">
        <f t="array" ref="U85">IF(Tabela3[[#This Row],[Rok]]&gt;HoryzontInwestycyjny,0,IF(CzasKredytu&gt;=Tabela3[[#This Row],[Rok]],IF(ZmianaKosztów="Tak",UbezMiesz* PRODUCT(1+J85:J85), UbezMiesz),""))</f>
        <v>0</v>
      </c>
      <c r="V85" s="155" cm="1">
        <f t="array" ref="V85">IF(Tabela3[[#This Row],[Rok]]&gt;HoryzontInwestycyjny,0,IF(ZmianaKosztów="Tak", PodatekOdNieruchomości * PRODUCT(1+J$54:J84), PodNie))</f>
        <v>0</v>
      </c>
      <c r="W85" s="155">
        <f>KosztyZarządzania*Tabela3[[#This Row],[Przychody z wynajmu]]</f>
        <v>0</v>
      </c>
      <c r="X85" s="155" cm="1">
        <f t="array" ref="X85">IF(Tabela3[[#This Row],[Rok]]&gt;HoryzontInwestycyjny,0,IF(ZmianaKosztów="Tak", InneKosztyRocznie* PRODUCT(1+J$55:J85), InneKosztyRocznie))</f>
        <v>0</v>
      </c>
      <c r="Y85" s="155">
        <f>SUM(Tabela3[[#This Row],[Cena mieszkania + remont początkowy]:[Inne koszty]])-Tabela3[[#This Row],[Rata kredytu]]</f>
        <v>0</v>
      </c>
      <c r="Z85" s="155">
        <f>IF(Tabela3[[#This Row],[Przychody z wynajmu]]&lt;=100000, Tabela3[[#This Row],[Przychody z wynajmu]]*MałyPodatek, 100000*MałyPodatek + (Tabela3[[#This Row],[Przychody z wynajmu]]-100000)*DużyPodatek)</f>
        <v>0</v>
      </c>
      <c r="AA85" s="155">
        <f>Tabela3[[#This Row],[Wydatki związane z najmem całkowite]]+Tabela3[[#This Row],[Podatek od przychodu]]</f>
        <v>0</v>
      </c>
      <c r="AB85" s="155">
        <f>IF(Tabela3[[#This Row],[Rok]]&gt;HoryzontInwestycyjny,0,Tabela3[[#This Row],[Przychody z wynajmu]]-Tabela3[[#This Row],[Wydatki związane z najmem całkowite]]-Tabela3[[#This Row],[Podatek od przychodu]])</f>
        <v>0</v>
      </c>
      <c r="AC85" s="155">
        <f>IF(Tabela3[[#This Row],[Rok]]&gt;HoryzontInwestycyjny,0,AC84+Tabela3[[#This Row],[Wynik z najmu netto rocznie]])</f>
        <v>0</v>
      </c>
      <c r="AD85" s="176" t="str">
        <f>IF(Tabela3[[#This Row],[Rok]]&gt;HoryzontInwestycyjny,"",IF(ZmianaWartościNieruchomości="Inflacyjnie",Inflacja,0))</f>
        <v/>
      </c>
      <c r="AE85" s="177" t="str">
        <f>IF(Tabela3[[#This Row],[Rok]]&gt;HoryzontInwestycyjny,"",StałyProcentZmianyWartościNieruchomości)</f>
        <v/>
      </c>
      <c r="AF85" s="178" t="str">
        <f>IF(Tabela3[[#This Row],[Rok]]&gt;HoryzontInwestycyjny,"",StałaKwotaZmianyWartościNieruchomości)</f>
        <v/>
      </c>
      <c r="AG85" s="155">
        <f>IF(Tabela3[[#This Row],[Rok]]&gt;HoryzontInwestycyjny,0,IF(ZmianaWartościNieruchomości="bez zmian",AG84,IF(ZmianaWartościNieruchomości="inflacyjnie",AG84*(1+Tabela3[[#This Row],[Inflacja3]]),IF(ZmianaWartościNieruchomości="stały %",AG84*(1+Tabela3[[#This Row],[Stały % zmiany warrtości]]),IF(ZmianaWartościNieruchomości="stała kwota",AG84+AF85,AG84)))))</f>
        <v>0</v>
      </c>
      <c r="AH85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85" s="177" cm="1">
        <f t="array" ref="AI85">Tabela3[[#This Row],[Wynik z najmu netto rocznie]]/IF(CzyKredyt="Tak",WydanaGotówka2,WydanaGotówka1)</f>
        <v>0</v>
      </c>
      <c r="AJ85" s="177" cm="1">
        <f t="array" ref="AJ85">Tabela3[[#This Row],[Wynik z najmu netto rocznie]]/IF(CzyKredyt="Tak",SumaKosztówPoczątkowychInwestycji,SumaKosztów)</f>
        <v>0</v>
      </c>
      <c r="AK85" s="155" cm="1">
        <f t="array" ref="AK85">IF(Tabela3[[#This Row],[Rok]]&gt;HoryzontInwestycyjny,0,-IF(CzyKredyt="Tak",WydanaGotówka2,WydanaGotówka1)+Tabela3[[#This Row],[Skumulowany wynik z najmu netto z najmu]])</f>
        <v>0</v>
      </c>
    </row>
    <row r="86" spans="3:37">
      <c r="C86" s="158">
        <v>33</v>
      </c>
      <c r="D86" s="152">
        <f t="shared" ref="D86:D153" si="4">IF(ZmianaOdstępnego="Inflacyjnie",Inflacja,0)</f>
        <v>0.02</v>
      </c>
      <c r="E86" s="152">
        <f t="shared" ref="E86:E153" si="5">ProcentZmianyOdstępnego</f>
        <v>0.04</v>
      </c>
      <c r="F86" s="167">
        <f t="shared" si="2"/>
        <v>150</v>
      </c>
      <c r="G86" s="151">
        <f>IF(Tabela3[[#This Row],[Rok]]&gt;HoryzontInwestycyjny,0,IF(ZmianaOdstępnego="bez zmian",G85,IF(ZmianaOdstępnego="inflacyjnie",G85*(1+Wyniki2!$D86),IF(ZmianaOdstępnego="stały %",G85*(1+Wyniki2!$E86),IF(ZmianaOdstępnego="stała kwota",G85+Wyniki2!$F86,)))))</f>
        <v>0</v>
      </c>
      <c r="H86" s="165">
        <f>IF(Tabela3[[#This Row],[Rok]]&gt;HoryzontInwestycyjny,0,MAX(0, MiesiąceNajmu - MAX(0, MAX(IFERROR(IF(MOD($C86, MałyRemont) = 0,Czas_MałyRemont, 0),0),IFERROR(IF(MOD($C86,DużyRemont) = 0,Czas_DużyRemont, 0),0)) - (12 -MiesiąceNajmu))))</f>
        <v>0</v>
      </c>
      <c r="I86" s="166">
        <f t="shared" si="3"/>
        <v>0</v>
      </c>
      <c r="J86" s="152" t="str">
        <f>IF(Tabela3[[#This Row],[Rok]]&gt;HoryzontInwestycyjny,"",IF(ZmianaKosztów="TAK",Inflacja,0))</f>
        <v/>
      </c>
      <c r="K86" s="155"/>
      <c r="L86" s="155"/>
      <c r="M86" s="155"/>
      <c r="N86" s="171" cm="1">
        <f t="array" ref="N86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86" s="171" cm="1">
        <f t="array" ref="O86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86" s="155" cm="1">
        <f t="array" ref="P86">IF(Tabela3[[#This Row],[Rok]]&gt;HoryzontInwestycyjny,0,IF(12-Tabela3[[#This Row],[Liczba wynajętych miesięcy w roku]]&gt;0, (12-Tabela3[[#This Row],[Liczba wynajętych miesięcy w roku]]) *CzynszWspólnoty* IF(ZmianaKosztów="Tak", PRODUCT(1+J$54:INDEX($J$54:J86, ROWS($D$54:D86)-1)), 1), 0))</f>
        <v>0</v>
      </c>
      <c r="Q86" s="170">
        <f>IF(Tabela3[[#This Row],[Rok]]&gt;HoryzontInwestycyjny,0,SUMIF(Kredyt!$E:$E,Tabela3[[#This Row],[Rok]],Kredyt!$I:$I))</f>
        <v>0</v>
      </c>
      <c r="R86" s="171">
        <f>IF(Tabela3[[#This Row],[Rok]]&gt;HoryzontInwestycyjny,0,SUMIF(Kredyt!$E:$E,Tabela3[[#This Row],[Rok]],Kredyt!$J:$J))</f>
        <v>0</v>
      </c>
      <c r="S86" s="155">
        <f>Tabela3[[#This Row],[Rata kredytu: odsetki]]+Tabela3[[#This Row],[Rata kredytu: kapitał]]</f>
        <v>0</v>
      </c>
      <c r="T86" s="169" cm="1">
        <f t="array" ref="T86">IF(Tabela3[[#This Row],[Rok]]&gt;HoryzontInwestycyjny,0,IFERROR(INDEX(Kredyt!$M:$M,11+Tabela3[[#This Row],[Rok]]*12) * UbezŻyć,""))</f>
        <v>0</v>
      </c>
      <c r="U86" s="155" cm="1">
        <f t="array" ref="U86">IF(Tabela3[[#This Row],[Rok]]&gt;HoryzontInwestycyjny,0,IF(CzasKredytu&gt;=Tabela3[[#This Row],[Rok]],IF(ZmianaKosztów="Tak",UbezMiesz* PRODUCT(1+J86:J86), UbezMiesz),""))</f>
        <v>0</v>
      </c>
      <c r="V86" s="155" cm="1">
        <f t="array" ref="V86">IF(Tabela3[[#This Row],[Rok]]&gt;HoryzontInwestycyjny,0,IF(ZmianaKosztów="Tak", PodatekOdNieruchomości * PRODUCT(1+J$54:J85), PodNie))</f>
        <v>0</v>
      </c>
      <c r="W86" s="155">
        <f>KosztyZarządzania*Tabela3[[#This Row],[Przychody z wynajmu]]</f>
        <v>0</v>
      </c>
      <c r="X86" s="155" cm="1">
        <f t="array" ref="X86">IF(Tabela3[[#This Row],[Rok]]&gt;HoryzontInwestycyjny,0,IF(ZmianaKosztów="Tak", InneKosztyRocznie* PRODUCT(1+J$55:J86), InneKosztyRocznie))</f>
        <v>0</v>
      </c>
      <c r="Y86" s="155">
        <f>SUM(Tabela3[[#This Row],[Cena mieszkania + remont początkowy]:[Inne koszty]])-Tabela3[[#This Row],[Rata kredytu]]</f>
        <v>0</v>
      </c>
      <c r="Z86" s="155">
        <f>IF(Tabela3[[#This Row],[Przychody z wynajmu]]&lt;=100000, Tabela3[[#This Row],[Przychody z wynajmu]]*MałyPodatek, 100000*MałyPodatek + (Tabela3[[#This Row],[Przychody z wynajmu]]-100000)*DużyPodatek)</f>
        <v>0</v>
      </c>
      <c r="AA86" s="155">
        <f>Tabela3[[#This Row],[Wydatki związane z najmem całkowite]]+Tabela3[[#This Row],[Podatek od przychodu]]</f>
        <v>0</v>
      </c>
      <c r="AB86" s="155">
        <f>IF(Tabela3[[#This Row],[Rok]]&gt;HoryzontInwestycyjny,0,Tabela3[[#This Row],[Przychody z wynajmu]]-Tabela3[[#This Row],[Wydatki związane z najmem całkowite]]-Tabela3[[#This Row],[Podatek od przychodu]])</f>
        <v>0</v>
      </c>
      <c r="AC86" s="155">
        <f>IF(Tabela3[[#This Row],[Rok]]&gt;HoryzontInwestycyjny,0,AC85+Tabela3[[#This Row],[Wynik z najmu netto rocznie]])</f>
        <v>0</v>
      </c>
      <c r="AD86" s="176" t="str">
        <f>IF(Tabela3[[#This Row],[Rok]]&gt;HoryzontInwestycyjny,"",IF(ZmianaWartościNieruchomości="Inflacyjnie",Inflacja,0))</f>
        <v/>
      </c>
      <c r="AE86" s="177" t="str">
        <f>IF(Tabela3[[#This Row],[Rok]]&gt;HoryzontInwestycyjny,"",StałyProcentZmianyWartościNieruchomości)</f>
        <v/>
      </c>
      <c r="AF86" s="178" t="str">
        <f>IF(Tabela3[[#This Row],[Rok]]&gt;HoryzontInwestycyjny,"",StałaKwotaZmianyWartościNieruchomości)</f>
        <v/>
      </c>
      <c r="AG86" s="155">
        <f>IF(Tabela3[[#This Row],[Rok]]&gt;HoryzontInwestycyjny,0,IF(ZmianaWartościNieruchomości="bez zmian",AG85,IF(ZmianaWartościNieruchomości="inflacyjnie",AG85*(1+Tabela3[[#This Row],[Inflacja3]]),IF(ZmianaWartościNieruchomości="stały %",AG85*(1+Tabela3[[#This Row],[Stały % zmiany warrtości]]),IF(ZmianaWartościNieruchomości="stała kwota",AG85+AF86,AG85)))))</f>
        <v>0</v>
      </c>
      <c r="AH86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86" s="177" cm="1">
        <f t="array" ref="AI86">Tabela3[[#This Row],[Wynik z najmu netto rocznie]]/IF(CzyKredyt="Tak",WydanaGotówka2,WydanaGotówka1)</f>
        <v>0</v>
      </c>
      <c r="AJ86" s="177" cm="1">
        <f t="array" ref="AJ86">Tabela3[[#This Row],[Wynik z najmu netto rocznie]]/IF(CzyKredyt="Tak",SumaKosztówPoczątkowychInwestycji,SumaKosztów)</f>
        <v>0</v>
      </c>
      <c r="AK86" s="155" cm="1">
        <f t="array" ref="AK86">IF(Tabela3[[#This Row],[Rok]]&gt;HoryzontInwestycyjny,0,-IF(CzyKredyt="Tak",WydanaGotówka2,WydanaGotówka1)+Tabela3[[#This Row],[Skumulowany wynik z najmu netto z najmu]])</f>
        <v>0</v>
      </c>
    </row>
    <row r="87" spans="3:37">
      <c r="C87" s="158">
        <v>34</v>
      </c>
      <c r="D87" s="152">
        <f t="shared" si="4"/>
        <v>0.02</v>
      </c>
      <c r="E87" s="152">
        <f t="shared" si="5"/>
        <v>0.04</v>
      </c>
      <c r="F87" s="167">
        <f t="shared" ref="F87:F153" si="6">KwotaZmianyOdstępnego</f>
        <v>150</v>
      </c>
      <c r="G87" s="151">
        <f>IF(Tabela3[[#This Row],[Rok]]&gt;HoryzontInwestycyjny,0,IF(ZmianaOdstępnego="bez zmian",G86,IF(ZmianaOdstępnego="inflacyjnie",G86*(1+Wyniki2!$D87),IF(ZmianaOdstępnego="stały %",G86*(1+Wyniki2!$E87),IF(ZmianaOdstępnego="stała kwota",G86+Wyniki2!$F87,)))))</f>
        <v>0</v>
      </c>
      <c r="H87" s="165">
        <f>IF(Tabela3[[#This Row],[Rok]]&gt;HoryzontInwestycyjny,0,MAX(0, MiesiąceNajmu - MAX(0, MAX(IFERROR(IF(MOD($C87, MałyRemont) = 0,Czas_MałyRemont, 0),0),IFERROR(IF(MOD($C87,DużyRemont) = 0,Czas_DużyRemont, 0),0)) - (12 -MiesiąceNajmu))))</f>
        <v>0</v>
      </c>
      <c r="I87" s="166">
        <f t="shared" si="3"/>
        <v>0</v>
      </c>
      <c r="J87" s="152" t="str">
        <f>IF(Tabela3[[#This Row],[Rok]]&gt;HoryzontInwestycyjny,"",IF(ZmianaKosztów="TAK",Inflacja,0))</f>
        <v/>
      </c>
      <c r="K87" s="155"/>
      <c r="L87" s="155"/>
      <c r="M87" s="155"/>
      <c r="N87" s="171" cm="1">
        <f t="array" ref="N87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87" s="171" cm="1">
        <f t="array" ref="O87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87" s="155" cm="1">
        <f t="array" ref="P87">IF(Tabela3[[#This Row],[Rok]]&gt;HoryzontInwestycyjny,0,IF(12-Tabela3[[#This Row],[Liczba wynajętych miesięcy w roku]]&gt;0, (12-Tabela3[[#This Row],[Liczba wynajętych miesięcy w roku]]) *CzynszWspólnoty* IF(ZmianaKosztów="Tak", PRODUCT(1+J$54:INDEX($J$54:J87, ROWS($D$54:D87)-1)), 1), 0))</f>
        <v>0</v>
      </c>
      <c r="Q87" s="170">
        <f>IF(Tabela3[[#This Row],[Rok]]&gt;HoryzontInwestycyjny,0,SUMIF(Kredyt!$E:$E,Tabela3[[#This Row],[Rok]],Kredyt!$I:$I))</f>
        <v>0</v>
      </c>
      <c r="R87" s="171">
        <f>IF(Tabela3[[#This Row],[Rok]]&gt;HoryzontInwestycyjny,0,SUMIF(Kredyt!$E:$E,Tabela3[[#This Row],[Rok]],Kredyt!$J:$J))</f>
        <v>0</v>
      </c>
      <c r="S87" s="155">
        <f>Tabela3[[#This Row],[Rata kredytu: odsetki]]+Tabela3[[#This Row],[Rata kredytu: kapitał]]</f>
        <v>0</v>
      </c>
      <c r="T87" s="169" cm="1">
        <f t="array" ref="T87">IF(Tabela3[[#This Row],[Rok]]&gt;HoryzontInwestycyjny,0,IFERROR(INDEX(Kredyt!$M:$M,11+Tabela3[[#This Row],[Rok]]*12) * UbezŻyć,""))</f>
        <v>0</v>
      </c>
      <c r="U87" s="155" cm="1">
        <f t="array" ref="U87">IF(Tabela3[[#This Row],[Rok]]&gt;HoryzontInwestycyjny,0,IF(CzasKredytu&gt;=Tabela3[[#This Row],[Rok]],IF(ZmianaKosztów="Tak",UbezMiesz* PRODUCT(1+J87:J87), UbezMiesz),""))</f>
        <v>0</v>
      </c>
      <c r="V87" s="155" cm="1">
        <f t="array" ref="V87">IF(Tabela3[[#This Row],[Rok]]&gt;HoryzontInwestycyjny,0,IF(ZmianaKosztów="Tak", PodatekOdNieruchomości * PRODUCT(1+J$54:J86), PodNie))</f>
        <v>0</v>
      </c>
      <c r="W87" s="155">
        <f>KosztyZarządzania*Tabela3[[#This Row],[Przychody z wynajmu]]</f>
        <v>0</v>
      </c>
      <c r="X87" s="155" cm="1">
        <f t="array" ref="X87">IF(Tabela3[[#This Row],[Rok]]&gt;HoryzontInwestycyjny,0,IF(ZmianaKosztów="Tak", InneKosztyRocznie* PRODUCT(1+J$55:J87), InneKosztyRocznie))</f>
        <v>0</v>
      </c>
      <c r="Y87" s="155">
        <f>SUM(Tabela3[[#This Row],[Cena mieszkania + remont początkowy]:[Inne koszty]])-Tabela3[[#This Row],[Rata kredytu]]</f>
        <v>0</v>
      </c>
      <c r="Z87" s="155">
        <f>IF(Tabela3[[#This Row],[Przychody z wynajmu]]&lt;=100000, Tabela3[[#This Row],[Przychody z wynajmu]]*MałyPodatek, 100000*MałyPodatek + (Tabela3[[#This Row],[Przychody z wynajmu]]-100000)*DużyPodatek)</f>
        <v>0</v>
      </c>
      <c r="AA87" s="155">
        <f>Tabela3[[#This Row],[Wydatki związane z najmem całkowite]]+Tabela3[[#This Row],[Podatek od przychodu]]</f>
        <v>0</v>
      </c>
      <c r="AB87" s="155">
        <f>IF(Tabela3[[#This Row],[Rok]]&gt;HoryzontInwestycyjny,0,Tabela3[[#This Row],[Przychody z wynajmu]]-Tabela3[[#This Row],[Wydatki związane z najmem całkowite]]-Tabela3[[#This Row],[Podatek od przychodu]])</f>
        <v>0</v>
      </c>
      <c r="AC87" s="155">
        <f>IF(Tabela3[[#This Row],[Rok]]&gt;HoryzontInwestycyjny,0,AC86+Tabela3[[#This Row],[Wynik z najmu netto rocznie]])</f>
        <v>0</v>
      </c>
      <c r="AD87" s="176" t="str">
        <f>IF(Tabela3[[#This Row],[Rok]]&gt;HoryzontInwestycyjny,"",IF(ZmianaWartościNieruchomości="Inflacyjnie",Inflacja,0))</f>
        <v/>
      </c>
      <c r="AE87" s="177" t="str">
        <f>IF(Tabela3[[#This Row],[Rok]]&gt;HoryzontInwestycyjny,"",StałyProcentZmianyWartościNieruchomości)</f>
        <v/>
      </c>
      <c r="AF87" s="178" t="str">
        <f>IF(Tabela3[[#This Row],[Rok]]&gt;HoryzontInwestycyjny,"",StałaKwotaZmianyWartościNieruchomości)</f>
        <v/>
      </c>
      <c r="AG87" s="155">
        <f>IF(Tabela3[[#This Row],[Rok]]&gt;HoryzontInwestycyjny,0,IF(ZmianaWartościNieruchomości="bez zmian",AG86,IF(ZmianaWartościNieruchomości="inflacyjnie",AG86*(1+Tabela3[[#This Row],[Inflacja3]]),IF(ZmianaWartościNieruchomości="stały %",AG86*(1+Tabela3[[#This Row],[Stały % zmiany warrtości]]),IF(ZmianaWartościNieruchomości="stała kwota",AG86+AF87,AG86)))))</f>
        <v>0</v>
      </c>
      <c r="AH87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87" s="177" cm="1">
        <f t="array" ref="AI87">Tabela3[[#This Row],[Wynik z najmu netto rocznie]]/IF(CzyKredyt="Tak",WydanaGotówka2,WydanaGotówka1)</f>
        <v>0</v>
      </c>
      <c r="AJ87" s="177" cm="1">
        <f t="array" ref="AJ87">Tabela3[[#This Row],[Wynik z najmu netto rocznie]]/IF(CzyKredyt="Tak",SumaKosztówPoczątkowychInwestycji,SumaKosztów)</f>
        <v>0</v>
      </c>
      <c r="AK87" s="155" cm="1">
        <f t="array" ref="AK87">IF(Tabela3[[#This Row],[Rok]]&gt;HoryzontInwestycyjny,0,-IF(CzyKredyt="Tak",WydanaGotówka2,WydanaGotówka1)+Tabela3[[#This Row],[Skumulowany wynik z najmu netto z najmu]])</f>
        <v>0</v>
      </c>
    </row>
    <row r="88" spans="3:37">
      <c r="C88" s="158">
        <v>35</v>
      </c>
      <c r="D88" s="152">
        <f t="shared" si="4"/>
        <v>0.02</v>
      </c>
      <c r="E88" s="152">
        <f t="shared" si="5"/>
        <v>0.04</v>
      </c>
      <c r="F88" s="167">
        <f t="shared" si="6"/>
        <v>150</v>
      </c>
      <c r="G88" s="151">
        <f>IF(Tabela3[[#This Row],[Rok]]&gt;HoryzontInwestycyjny,0,IF(ZmianaOdstępnego="bez zmian",G87,IF(ZmianaOdstępnego="inflacyjnie",G87*(1+Wyniki2!$D88),IF(ZmianaOdstępnego="stały %",G87*(1+Wyniki2!$E88),IF(ZmianaOdstępnego="stała kwota",G87+Wyniki2!$F88,)))))</f>
        <v>0</v>
      </c>
      <c r="H88" s="165">
        <f>IF(Tabela3[[#This Row],[Rok]]&gt;HoryzontInwestycyjny,0,MAX(0, MiesiąceNajmu - MAX(0, MAX(IFERROR(IF(MOD($C88, MałyRemont) = 0,Czas_MałyRemont, 0),0),IFERROR(IF(MOD($C88,DużyRemont) = 0,Czas_DużyRemont, 0),0)) - (12 -MiesiąceNajmu))))</f>
        <v>0</v>
      </c>
      <c r="I88" s="166">
        <f t="shared" si="3"/>
        <v>0</v>
      </c>
      <c r="J88" s="152" t="str">
        <f>IF(Tabela3[[#This Row],[Rok]]&gt;HoryzontInwestycyjny,"",IF(ZmianaKosztów="TAK",Inflacja,0))</f>
        <v/>
      </c>
      <c r="K88" s="155"/>
      <c r="L88" s="155"/>
      <c r="M88" s="155"/>
      <c r="N88" s="171" cm="1">
        <f t="array" ref="N88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88" s="171" cm="1">
        <f t="array" ref="O88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88" s="155" cm="1">
        <f t="array" ref="P88">IF(Tabela3[[#This Row],[Rok]]&gt;HoryzontInwestycyjny,0,IF(12-Tabela3[[#This Row],[Liczba wynajętych miesięcy w roku]]&gt;0, (12-Tabela3[[#This Row],[Liczba wynajętych miesięcy w roku]]) *CzynszWspólnoty* IF(ZmianaKosztów="Tak", PRODUCT(1+J$54:INDEX($J$54:J88, ROWS($D$54:D88)-1)), 1), 0))</f>
        <v>0</v>
      </c>
      <c r="Q88" s="170">
        <f>IF(Tabela3[[#This Row],[Rok]]&gt;HoryzontInwestycyjny,0,SUMIF(Kredyt!$E:$E,Tabela3[[#This Row],[Rok]],Kredyt!$I:$I))</f>
        <v>0</v>
      </c>
      <c r="R88" s="171">
        <f>IF(Tabela3[[#This Row],[Rok]]&gt;HoryzontInwestycyjny,0,SUMIF(Kredyt!$E:$E,Tabela3[[#This Row],[Rok]],Kredyt!$J:$J))</f>
        <v>0</v>
      </c>
      <c r="S88" s="155">
        <f>Tabela3[[#This Row],[Rata kredytu: odsetki]]+Tabela3[[#This Row],[Rata kredytu: kapitał]]</f>
        <v>0</v>
      </c>
      <c r="T88" s="169" cm="1">
        <f t="array" ref="T88">IF(Tabela3[[#This Row],[Rok]]&gt;HoryzontInwestycyjny,0,IFERROR(INDEX(Kredyt!$M:$M,11+Tabela3[[#This Row],[Rok]]*12) * UbezŻyć,""))</f>
        <v>0</v>
      </c>
      <c r="U88" s="155" cm="1">
        <f t="array" ref="U88">IF(Tabela3[[#This Row],[Rok]]&gt;HoryzontInwestycyjny,0,IF(CzasKredytu&gt;=Tabela3[[#This Row],[Rok]],IF(ZmianaKosztów="Tak",UbezMiesz* PRODUCT(1+J88:J88), UbezMiesz),""))</f>
        <v>0</v>
      </c>
      <c r="V88" s="155" cm="1">
        <f t="array" ref="V88">IF(Tabela3[[#This Row],[Rok]]&gt;HoryzontInwestycyjny,0,IF(ZmianaKosztów="Tak", PodatekOdNieruchomości * PRODUCT(1+J$54:J87), PodNie))</f>
        <v>0</v>
      </c>
      <c r="W88" s="155">
        <f>KosztyZarządzania*Tabela3[[#This Row],[Przychody z wynajmu]]</f>
        <v>0</v>
      </c>
      <c r="X88" s="155" cm="1">
        <f t="array" ref="X88">IF(Tabela3[[#This Row],[Rok]]&gt;HoryzontInwestycyjny,0,IF(ZmianaKosztów="Tak", InneKosztyRocznie* PRODUCT(1+J$55:J88), InneKosztyRocznie))</f>
        <v>0</v>
      </c>
      <c r="Y88" s="155">
        <f>SUM(Tabela3[[#This Row],[Cena mieszkania + remont początkowy]:[Inne koszty]])-Tabela3[[#This Row],[Rata kredytu]]</f>
        <v>0</v>
      </c>
      <c r="Z88" s="155">
        <f>IF(Tabela3[[#This Row],[Przychody z wynajmu]]&lt;=100000, Tabela3[[#This Row],[Przychody z wynajmu]]*MałyPodatek, 100000*MałyPodatek + (Tabela3[[#This Row],[Przychody z wynajmu]]-100000)*DużyPodatek)</f>
        <v>0</v>
      </c>
      <c r="AA88" s="155">
        <f>Tabela3[[#This Row],[Wydatki związane z najmem całkowite]]+Tabela3[[#This Row],[Podatek od przychodu]]</f>
        <v>0</v>
      </c>
      <c r="AB88" s="155">
        <f>IF(Tabela3[[#This Row],[Rok]]&gt;HoryzontInwestycyjny,0,Tabela3[[#This Row],[Przychody z wynajmu]]-Tabela3[[#This Row],[Wydatki związane z najmem całkowite]]-Tabela3[[#This Row],[Podatek od przychodu]])</f>
        <v>0</v>
      </c>
      <c r="AC88" s="155">
        <f>IF(Tabela3[[#This Row],[Rok]]&gt;HoryzontInwestycyjny,0,AC87+Tabela3[[#This Row],[Wynik z najmu netto rocznie]])</f>
        <v>0</v>
      </c>
      <c r="AD88" s="176" t="str">
        <f>IF(Tabela3[[#This Row],[Rok]]&gt;HoryzontInwestycyjny,"",IF(ZmianaWartościNieruchomości="Inflacyjnie",Inflacja,0))</f>
        <v/>
      </c>
      <c r="AE88" s="177" t="str">
        <f>IF(Tabela3[[#This Row],[Rok]]&gt;HoryzontInwestycyjny,"",StałyProcentZmianyWartościNieruchomości)</f>
        <v/>
      </c>
      <c r="AF88" s="178" t="str">
        <f>IF(Tabela3[[#This Row],[Rok]]&gt;HoryzontInwestycyjny,"",StałaKwotaZmianyWartościNieruchomości)</f>
        <v/>
      </c>
      <c r="AG88" s="155">
        <f>IF(Tabela3[[#This Row],[Rok]]&gt;HoryzontInwestycyjny,0,IF(ZmianaWartościNieruchomości="bez zmian",AG87,IF(ZmianaWartościNieruchomości="inflacyjnie",AG87*(1+Tabela3[[#This Row],[Inflacja3]]),IF(ZmianaWartościNieruchomości="stały %",AG87*(1+Tabela3[[#This Row],[Stały % zmiany warrtości]]),IF(ZmianaWartościNieruchomości="stała kwota",AG87+AF88,AG87)))))</f>
        <v>0</v>
      </c>
      <c r="AH88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88" s="177" cm="1">
        <f t="array" ref="AI88">Tabela3[[#This Row],[Wynik z najmu netto rocznie]]/IF(CzyKredyt="Tak",WydanaGotówka2,WydanaGotówka1)</f>
        <v>0</v>
      </c>
      <c r="AJ88" s="177" cm="1">
        <f t="array" ref="AJ88">Tabela3[[#This Row],[Wynik z najmu netto rocznie]]/IF(CzyKredyt="Tak",SumaKosztówPoczątkowychInwestycji,SumaKosztów)</f>
        <v>0</v>
      </c>
      <c r="AK88" s="155" cm="1">
        <f t="array" ref="AK88">IF(Tabela3[[#This Row],[Rok]]&gt;HoryzontInwestycyjny,0,-IF(CzyKredyt="Tak",WydanaGotówka2,WydanaGotówka1)+Tabela3[[#This Row],[Skumulowany wynik z najmu netto z najmu]])</f>
        <v>0</v>
      </c>
    </row>
    <row r="89" spans="3:37">
      <c r="C89" s="158">
        <v>36</v>
      </c>
      <c r="D89" s="152">
        <f t="shared" si="4"/>
        <v>0.02</v>
      </c>
      <c r="E89" s="152">
        <f t="shared" si="5"/>
        <v>0.04</v>
      </c>
      <c r="F89" s="167">
        <f t="shared" si="6"/>
        <v>150</v>
      </c>
      <c r="G89" s="151">
        <f>IF(Tabela3[[#This Row],[Rok]]&gt;HoryzontInwestycyjny,0,IF(ZmianaOdstępnego="bez zmian",G88,IF(ZmianaOdstępnego="inflacyjnie",G88*(1+Wyniki2!$D89),IF(ZmianaOdstępnego="stały %",G88*(1+Wyniki2!$E89),IF(ZmianaOdstępnego="stała kwota",G88+Wyniki2!$F89,)))))</f>
        <v>0</v>
      </c>
      <c r="H89" s="165">
        <f>IF(Tabela3[[#This Row],[Rok]]&gt;HoryzontInwestycyjny,0,MAX(0, MiesiąceNajmu - MAX(0, MAX(IFERROR(IF(MOD($C89, MałyRemont) = 0,Czas_MałyRemont, 0),0),IFERROR(IF(MOD($C89,DużyRemont) = 0,Czas_DużyRemont, 0),0)) - (12 -MiesiąceNajmu))))</f>
        <v>0</v>
      </c>
      <c r="I89" s="166">
        <f t="shared" si="3"/>
        <v>0</v>
      </c>
      <c r="J89" s="152" t="str">
        <f>IF(Tabela3[[#This Row],[Rok]]&gt;HoryzontInwestycyjny,"",IF(ZmianaKosztów="TAK",Inflacja,0))</f>
        <v/>
      </c>
      <c r="K89" s="155"/>
      <c r="L89" s="155"/>
      <c r="M89" s="155"/>
      <c r="N89" s="171" cm="1">
        <f t="array" ref="N89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89" s="171" cm="1">
        <f t="array" ref="O89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89" s="155" cm="1">
        <f t="array" ref="P89">IF(Tabela3[[#This Row],[Rok]]&gt;HoryzontInwestycyjny,0,IF(12-Tabela3[[#This Row],[Liczba wynajętych miesięcy w roku]]&gt;0, (12-Tabela3[[#This Row],[Liczba wynajętych miesięcy w roku]]) *CzynszWspólnoty* IF(ZmianaKosztów="Tak", PRODUCT(1+J$54:INDEX($J$54:J89, ROWS($D$54:D89)-1)), 1), 0))</f>
        <v>0</v>
      </c>
      <c r="Q89" s="170">
        <f>IF(Tabela3[[#This Row],[Rok]]&gt;HoryzontInwestycyjny,0,SUMIF(Kredyt!$E:$E,Tabela3[[#This Row],[Rok]],Kredyt!$I:$I))</f>
        <v>0</v>
      </c>
      <c r="R89" s="171">
        <f>IF(Tabela3[[#This Row],[Rok]]&gt;HoryzontInwestycyjny,0,SUMIF(Kredyt!$E:$E,Tabela3[[#This Row],[Rok]],Kredyt!$J:$J))</f>
        <v>0</v>
      </c>
      <c r="S89" s="155">
        <f>Tabela3[[#This Row],[Rata kredytu: odsetki]]+Tabela3[[#This Row],[Rata kredytu: kapitał]]</f>
        <v>0</v>
      </c>
      <c r="T89" s="169" cm="1">
        <f t="array" ref="T89">IF(Tabela3[[#This Row],[Rok]]&gt;HoryzontInwestycyjny,0,IFERROR(INDEX(Kredyt!$M:$M,11+Tabela3[[#This Row],[Rok]]*12) * UbezŻyć,""))</f>
        <v>0</v>
      </c>
      <c r="U89" s="155" cm="1">
        <f t="array" ref="U89">IF(Tabela3[[#This Row],[Rok]]&gt;HoryzontInwestycyjny,0,IF(CzasKredytu&gt;=Tabela3[[#This Row],[Rok]],IF(ZmianaKosztów="Tak",UbezMiesz* PRODUCT(1+J89:J89), UbezMiesz),""))</f>
        <v>0</v>
      </c>
      <c r="V89" s="155" cm="1">
        <f t="array" ref="V89">IF(Tabela3[[#This Row],[Rok]]&gt;HoryzontInwestycyjny,0,IF(ZmianaKosztów="Tak", PodatekOdNieruchomości * PRODUCT(1+J$54:J88), PodNie))</f>
        <v>0</v>
      </c>
      <c r="W89" s="155">
        <f>KosztyZarządzania*Tabela3[[#This Row],[Przychody z wynajmu]]</f>
        <v>0</v>
      </c>
      <c r="X89" s="155" cm="1">
        <f t="array" ref="X89">IF(Tabela3[[#This Row],[Rok]]&gt;HoryzontInwestycyjny,0,IF(ZmianaKosztów="Tak", InneKosztyRocznie* PRODUCT(1+J$55:J89), InneKosztyRocznie))</f>
        <v>0</v>
      </c>
      <c r="Y89" s="155">
        <f>SUM(Tabela3[[#This Row],[Cena mieszkania + remont początkowy]:[Inne koszty]])-Tabela3[[#This Row],[Rata kredytu]]</f>
        <v>0</v>
      </c>
      <c r="Z89" s="155">
        <f>IF(Tabela3[[#This Row],[Przychody z wynajmu]]&lt;=100000, Tabela3[[#This Row],[Przychody z wynajmu]]*MałyPodatek, 100000*MałyPodatek + (Tabela3[[#This Row],[Przychody z wynajmu]]-100000)*DużyPodatek)</f>
        <v>0</v>
      </c>
      <c r="AA89" s="155">
        <f>Tabela3[[#This Row],[Wydatki związane z najmem całkowite]]+Tabela3[[#This Row],[Podatek od przychodu]]</f>
        <v>0</v>
      </c>
      <c r="AB89" s="155">
        <f>IF(Tabela3[[#This Row],[Rok]]&gt;HoryzontInwestycyjny,0,Tabela3[[#This Row],[Przychody z wynajmu]]-Tabela3[[#This Row],[Wydatki związane z najmem całkowite]]-Tabela3[[#This Row],[Podatek od przychodu]])</f>
        <v>0</v>
      </c>
      <c r="AC89" s="155">
        <f>IF(Tabela3[[#This Row],[Rok]]&gt;HoryzontInwestycyjny,0,AC88+Tabela3[[#This Row],[Wynik z najmu netto rocznie]])</f>
        <v>0</v>
      </c>
      <c r="AD89" s="176" t="str">
        <f>IF(Tabela3[[#This Row],[Rok]]&gt;HoryzontInwestycyjny,"",IF(ZmianaWartościNieruchomości="Inflacyjnie",Inflacja,0))</f>
        <v/>
      </c>
      <c r="AE89" s="177" t="str">
        <f>IF(Tabela3[[#This Row],[Rok]]&gt;HoryzontInwestycyjny,"",StałyProcentZmianyWartościNieruchomości)</f>
        <v/>
      </c>
      <c r="AF89" s="178" t="str">
        <f>IF(Tabela3[[#This Row],[Rok]]&gt;HoryzontInwestycyjny,"",StałaKwotaZmianyWartościNieruchomości)</f>
        <v/>
      </c>
      <c r="AG89" s="155">
        <f>IF(Tabela3[[#This Row],[Rok]]&gt;HoryzontInwestycyjny,0,IF(ZmianaWartościNieruchomości="bez zmian",AG88,IF(ZmianaWartościNieruchomości="inflacyjnie",AG88*(1+Tabela3[[#This Row],[Inflacja3]]),IF(ZmianaWartościNieruchomości="stały %",AG88*(1+Tabela3[[#This Row],[Stały % zmiany warrtości]]),IF(ZmianaWartościNieruchomości="stała kwota",AG88+AF89,AG88)))))</f>
        <v>0</v>
      </c>
      <c r="AH89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89" s="177" cm="1">
        <f t="array" ref="AI89">Tabela3[[#This Row],[Wynik z najmu netto rocznie]]/IF(CzyKredyt="Tak",WydanaGotówka2,WydanaGotówka1)</f>
        <v>0</v>
      </c>
      <c r="AJ89" s="177" cm="1">
        <f t="array" ref="AJ89">Tabela3[[#This Row],[Wynik z najmu netto rocznie]]/IF(CzyKredyt="Tak",SumaKosztówPoczątkowychInwestycji,SumaKosztów)</f>
        <v>0</v>
      </c>
      <c r="AK89" s="155" cm="1">
        <f t="array" ref="AK89">IF(Tabela3[[#This Row],[Rok]]&gt;HoryzontInwestycyjny,0,-IF(CzyKredyt="Tak",WydanaGotówka2,WydanaGotówka1)+Tabela3[[#This Row],[Skumulowany wynik z najmu netto z najmu]])</f>
        <v>0</v>
      </c>
    </row>
    <row r="90" spans="3:37">
      <c r="C90" s="158">
        <v>37</v>
      </c>
      <c r="D90" s="152">
        <f t="shared" si="4"/>
        <v>0.02</v>
      </c>
      <c r="E90" s="152">
        <f t="shared" si="5"/>
        <v>0.04</v>
      </c>
      <c r="F90" s="167">
        <f t="shared" si="6"/>
        <v>150</v>
      </c>
      <c r="G90" s="151">
        <f>IF(Tabela3[[#This Row],[Rok]]&gt;HoryzontInwestycyjny,0,IF(ZmianaOdstępnego="bez zmian",G89,IF(ZmianaOdstępnego="inflacyjnie",G89*(1+Wyniki2!$D90),IF(ZmianaOdstępnego="stały %",G89*(1+Wyniki2!$E90),IF(ZmianaOdstępnego="stała kwota",G89+Wyniki2!$F90,)))))</f>
        <v>0</v>
      </c>
      <c r="H90" s="165">
        <f>IF(Tabela3[[#This Row],[Rok]]&gt;HoryzontInwestycyjny,0,MAX(0, MiesiąceNajmu - MAX(0, MAX(IFERROR(IF(MOD($C90, MałyRemont) = 0,Czas_MałyRemont, 0),0),IFERROR(IF(MOD($C90,DużyRemont) = 0,Czas_DużyRemont, 0),0)) - (12 -MiesiąceNajmu))))</f>
        <v>0</v>
      </c>
      <c r="I90" s="166">
        <f t="shared" si="3"/>
        <v>0</v>
      </c>
      <c r="J90" s="152" t="str">
        <f>IF(Tabela3[[#This Row],[Rok]]&gt;HoryzontInwestycyjny,"",IF(ZmianaKosztów="TAK",Inflacja,0))</f>
        <v/>
      </c>
      <c r="K90" s="155"/>
      <c r="L90" s="155"/>
      <c r="M90" s="155"/>
      <c r="N90" s="171" cm="1">
        <f t="array" ref="N90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90" s="171" cm="1">
        <f t="array" ref="O90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90" s="155" cm="1">
        <f t="array" ref="P90">IF(Tabela3[[#This Row],[Rok]]&gt;HoryzontInwestycyjny,0,IF(12-Tabela3[[#This Row],[Liczba wynajętych miesięcy w roku]]&gt;0, (12-Tabela3[[#This Row],[Liczba wynajętych miesięcy w roku]]) *CzynszWspólnoty* IF(ZmianaKosztów="Tak", PRODUCT(1+J$54:INDEX($J$54:J90, ROWS($D$54:D90)-1)), 1), 0))</f>
        <v>0</v>
      </c>
      <c r="Q90" s="170">
        <f>IF(Tabela3[[#This Row],[Rok]]&gt;HoryzontInwestycyjny,0,SUMIF(Kredyt!$E:$E,Tabela3[[#This Row],[Rok]],Kredyt!$I:$I))</f>
        <v>0</v>
      </c>
      <c r="R90" s="171">
        <f>IF(Tabela3[[#This Row],[Rok]]&gt;HoryzontInwestycyjny,0,SUMIF(Kredyt!$E:$E,Tabela3[[#This Row],[Rok]],Kredyt!$J:$J))</f>
        <v>0</v>
      </c>
      <c r="S90" s="155">
        <f>Tabela3[[#This Row],[Rata kredytu: odsetki]]+Tabela3[[#This Row],[Rata kredytu: kapitał]]</f>
        <v>0</v>
      </c>
      <c r="T90" s="169" cm="1">
        <f t="array" ref="T90">IF(Tabela3[[#This Row],[Rok]]&gt;HoryzontInwestycyjny,0,IFERROR(INDEX(Kredyt!$M:$M,11+Tabela3[[#This Row],[Rok]]*12) * UbezŻyć,""))</f>
        <v>0</v>
      </c>
      <c r="U90" s="155" cm="1">
        <f t="array" ref="U90">IF(Tabela3[[#This Row],[Rok]]&gt;HoryzontInwestycyjny,0,IF(CzasKredytu&gt;=Tabela3[[#This Row],[Rok]],IF(ZmianaKosztów="Tak",UbezMiesz* PRODUCT(1+J90:J90), UbezMiesz),""))</f>
        <v>0</v>
      </c>
      <c r="V90" s="155" cm="1">
        <f t="array" ref="V90">IF(Tabela3[[#This Row],[Rok]]&gt;HoryzontInwestycyjny,0,IF(ZmianaKosztów="Tak", PodatekOdNieruchomości * PRODUCT(1+J$54:J89), PodNie))</f>
        <v>0</v>
      </c>
      <c r="W90" s="155">
        <f>KosztyZarządzania*Tabela3[[#This Row],[Przychody z wynajmu]]</f>
        <v>0</v>
      </c>
      <c r="X90" s="155" cm="1">
        <f t="array" ref="X90">IF(Tabela3[[#This Row],[Rok]]&gt;HoryzontInwestycyjny,0,IF(ZmianaKosztów="Tak", InneKosztyRocznie* PRODUCT(1+J$55:J90), InneKosztyRocznie))</f>
        <v>0</v>
      </c>
      <c r="Y90" s="155">
        <f>SUM(Tabela3[[#This Row],[Cena mieszkania + remont początkowy]:[Inne koszty]])-Tabela3[[#This Row],[Rata kredytu]]</f>
        <v>0</v>
      </c>
      <c r="Z90" s="155">
        <f>IF(Tabela3[[#This Row],[Przychody z wynajmu]]&lt;=100000, Tabela3[[#This Row],[Przychody z wynajmu]]*MałyPodatek, 100000*MałyPodatek + (Tabela3[[#This Row],[Przychody z wynajmu]]-100000)*DużyPodatek)</f>
        <v>0</v>
      </c>
      <c r="AA90" s="155">
        <f>Tabela3[[#This Row],[Wydatki związane z najmem całkowite]]+Tabela3[[#This Row],[Podatek od przychodu]]</f>
        <v>0</v>
      </c>
      <c r="AB90" s="155">
        <f>IF(Tabela3[[#This Row],[Rok]]&gt;HoryzontInwestycyjny,0,Tabela3[[#This Row],[Przychody z wynajmu]]-Tabela3[[#This Row],[Wydatki związane z najmem całkowite]]-Tabela3[[#This Row],[Podatek od przychodu]])</f>
        <v>0</v>
      </c>
      <c r="AC90" s="155">
        <f>IF(Tabela3[[#This Row],[Rok]]&gt;HoryzontInwestycyjny,0,AC89+Tabela3[[#This Row],[Wynik z najmu netto rocznie]])</f>
        <v>0</v>
      </c>
      <c r="AD90" s="176" t="str">
        <f>IF(Tabela3[[#This Row],[Rok]]&gt;HoryzontInwestycyjny,"",IF(ZmianaWartościNieruchomości="Inflacyjnie",Inflacja,0))</f>
        <v/>
      </c>
      <c r="AE90" s="177" t="str">
        <f>IF(Tabela3[[#This Row],[Rok]]&gt;HoryzontInwestycyjny,"",StałyProcentZmianyWartościNieruchomości)</f>
        <v/>
      </c>
      <c r="AF90" s="178" t="str">
        <f>IF(Tabela3[[#This Row],[Rok]]&gt;HoryzontInwestycyjny,"",StałaKwotaZmianyWartościNieruchomości)</f>
        <v/>
      </c>
      <c r="AG90" s="155">
        <f>IF(Tabela3[[#This Row],[Rok]]&gt;HoryzontInwestycyjny,0,IF(ZmianaWartościNieruchomości="bez zmian",AG89,IF(ZmianaWartościNieruchomości="inflacyjnie",AG89*(1+Tabela3[[#This Row],[Inflacja3]]),IF(ZmianaWartościNieruchomości="stały %",AG89*(1+Tabela3[[#This Row],[Stały % zmiany warrtości]]),IF(ZmianaWartościNieruchomości="stała kwota",AG89+AF90,AG89)))))</f>
        <v>0</v>
      </c>
      <c r="AH90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90" s="177" cm="1">
        <f t="array" ref="AI90">Tabela3[[#This Row],[Wynik z najmu netto rocznie]]/IF(CzyKredyt="Tak",WydanaGotówka2,WydanaGotówka1)</f>
        <v>0</v>
      </c>
      <c r="AJ90" s="177" cm="1">
        <f t="array" ref="AJ90">Tabela3[[#This Row],[Wynik z najmu netto rocznie]]/IF(CzyKredyt="Tak",SumaKosztówPoczątkowychInwestycji,SumaKosztów)</f>
        <v>0</v>
      </c>
      <c r="AK90" s="155" cm="1">
        <f t="array" ref="AK90">IF(Tabela3[[#This Row],[Rok]]&gt;HoryzontInwestycyjny,0,-IF(CzyKredyt="Tak",WydanaGotówka2,WydanaGotówka1)+Tabela3[[#This Row],[Skumulowany wynik z najmu netto z najmu]])</f>
        <v>0</v>
      </c>
    </row>
    <row r="91" spans="3:37">
      <c r="C91" s="158">
        <v>38</v>
      </c>
      <c r="D91" s="152">
        <f t="shared" si="4"/>
        <v>0.02</v>
      </c>
      <c r="E91" s="152">
        <f t="shared" si="5"/>
        <v>0.04</v>
      </c>
      <c r="F91" s="167">
        <f t="shared" si="6"/>
        <v>150</v>
      </c>
      <c r="G91" s="151">
        <f>IF(Tabela3[[#This Row],[Rok]]&gt;HoryzontInwestycyjny,0,IF(ZmianaOdstępnego="bez zmian",G90,IF(ZmianaOdstępnego="inflacyjnie",G90*(1+Wyniki2!$D91),IF(ZmianaOdstępnego="stały %",G90*(1+Wyniki2!$E91),IF(ZmianaOdstępnego="stała kwota",G90+Wyniki2!$F91,)))))</f>
        <v>0</v>
      </c>
      <c r="H91" s="165">
        <f>IF(Tabela3[[#This Row],[Rok]]&gt;HoryzontInwestycyjny,0,MAX(0, MiesiąceNajmu - MAX(0, MAX(IFERROR(IF(MOD($C91, MałyRemont) = 0,Czas_MałyRemont, 0),0),IFERROR(IF(MOD($C91,DużyRemont) = 0,Czas_DużyRemont, 0),0)) - (12 -MiesiąceNajmu))))</f>
        <v>0</v>
      </c>
      <c r="I91" s="166">
        <f t="shared" si="3"/>
        <v>0</v>
      </c>
      <c r="J91" s="152" t="str">
        <f>IF(Tabela3[[#This Row],[Rok]]&gt;HoryzontInwestycyjny,"",IF(ZmianaKosztów="TAK",Inflacja,0))</f>
        <v/>
      </c>
      <c r="K91" s="155"/>
      <c r="L91" s="155"/>
      <c r="M91" s="155"/>
      <c r="N91" s="171" cm="1">
        <f t="array" ref="N91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91" s="171" cm="1">
        <f t="array" ref="O91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91" s="155" cm="1">
        <f t="array" ref="P91">IF(Tabela3[[#This Row],[Rok]]&gt;HoryzontInwestycyjny,0,IF(12-Tabela3[[#This Row],[Liczba wynajętych miesięcy w roku]]&gt;0, (12-Tabela3[[#This Row],[Liczba wynajętych miesięcy w roku]]) *CzynszWspólnoty* IF(ZmianaKosztów="Tak", PRODUCT(1+J$54:INDEX($J$54:J91, ROWS($D$54:D91)-1)), 1), 0))</f>
        <v>0</v>
      </c>
      <c r="Q91" s="170">
        <f>IF(Tabela3[[#This Row],[Rok]]&gt;HoryzontInwestycyjny,0,SUMIF(Kredyt!$E:$E,Tabela3[[#This Row],[Rok]],Kredyt!$I:$I))</f>
        <v>0</v>
      </c>
      <c r="R91" s="171">
        <f>IF(Tabela3[[#This Row],[Rok]]&gt;HoryzontInwestycyjny,0,SUMIF(Kredyt!$E:$E,Tabela3[[#This Row],[Rok]],Kredyt!$J:$J))</f>
        <v>0</v>
      </c>
      <c r="S91" s="155">
        <f>Tabela3[[#This Row],[Rata kredytu: odsetki]]+Tabela3[[#This Row],[Rata kredytu: kapitał]]</f>
        <v>0</v>
      </c>
      <c r="T91" s="169" cm="1">
        <f t="array" ref="T91">IF(Tabela3[[#This Row],[Rok]]&gt;HoryzontInwestycyjny,0,IFERROR(INDEX(Kredyt!$M:$M,11+Tabela3[[#This Row],[Rok]]*12) * UbezŻyć,""))</f>
        <v>0</v>
      </c>
      <c r="U91" s="155" cm="1">
        <f t="array" ref="U91">IF(Tabela3[[#This Row],[Rok]]&gt;HoryzontInwestycyjny,0,IF(CzasKredytu&gt;=Tabela3[[#This Row],[Rok]],IF(ZmianaKosztów="Tak",UbezMiesz* PRODUCT(1+J91:J91), UbezMiesz),""))</f>
        <v>0</v>
      </c>
      <c r="V91" s="155" cm="1">
        <f t="array" ref="V91">IF(Tabela3[[#This Row],[Rok]]&gt;HoryzontInwestycyjny,0,IF(ZmianaKosztów="Tak", PodatekOdNieruchomości * PRODUCT(1+J$54:J90), PodNie))</f>
        <v>0</v>
      </c>
      <c r="W91" s="155">
        <f>KosztyZarządzania*Tabela3[[#This Row],[Przychody z wynajmu]]</f>
        <v>0</v>
      </c>
      <c r="X91" s="155" cm="1">
        <f t="array" ref="X91">IF(Tabela3[[#This Row],[Rok]]&gt;HoryzontInwestycyjny,0,IF(ZmianaKosztów="Tak", InneKosztyRocznie* PRODUCT(1+J$55:J91), InneKosztyRocznie))</f>
        <v>0</v>
      </c>
      <c r="Y91" s="155">
        <f>SUM(Tabela3[[#This Row],[Cena mieszkania + remont początkowy]:[Inne koszty]])-Tabela3[[#This Row],[Rata kredytu]]</f>
        <v>0</v>
      </c>
      <c r="Z91" s="155">
        <f>IF(Tabela3[[#This Row],[Przychody z wynajmu]]&lt;=100000, Tabela3[[#This Row],[Przychody z wynajmu]]*MałyPodatek, 100000*MałyPodatek + (Tabela3[[#This Row],[Przychody z wynajmu]]-100000)*DużyPodatek)</f>
        <v>0</v>
      </c>
      <c r="AA91" s="155">
        <f>Tabela3[[#This Row],[Wydatki związane z najmem całkowite]]+Tabela3[[#This Row],[Podatek od przychodu]]</f>
        <v>0</v>
      </c>
      <c r="AB91" s="155">
        <f>IF(Tabela3[[#This Row],[Rok]]&gt;HoryzontInwestycyjny,0,Tabela3[[#This Row],[Przychody z wynajmu]]-Tabela3[[#This Row],[Wydatki związane z najmem całkowite]]-Tabela3[[#This Row],[Podatek od przychodu]])</f>
        <v>0</v>
      </c>
      <c r="AC91" s="155">
        <f>IF(Tabela3[[#This Row],[Rok]]&gt;HoryzontInwestycyjny,0,AC90+Tabela3[[#This Row],[Wynik z najmu netto rocznie]])</f>
        <v>0</v>
      </c>
      <c r="AD91" s="176" t="str">
        <f>IF(Tabela3[[#This Row],[Rok]]&gt;HoryzontInwestycyjny,"",IF(ZmianaWartościNieruchomości="Inflacyjnie",Inflacja,0))</f>
        <v/>
      </c>
      <c r="AE91" s="177" t="str">
        <f>IF(Tabela3[[#This Row],[Rok]]&gt;HoryzontInwestycyjny,"",StałyProcentZmianyWartościNieruchomości)</f>
        <v/>
      </c>
      <c r="AF91" s="178" t="str">
        <f>IF(Tabela3[[#This Row],[Rok]]&gt;HoryzontInwestycyjny,"",StałaKwotaZmianyWartościNieruchomości)</f>
        <v/>
      </c>
      <c r="AG91" s="155">
        <f>IF(Tabela3[[#This Row],[Rok]]&gt;HoryzontInwestycyjny,0,IF(ZmianaWartościNieruchomości="bez zmian",AG90,IF(ZmianaWartościNieruchomości="inflacyjnie",AG90*(1+Tabela3[[#This Row],[Inflacja3]]),IF(ZmianaWartościNieruchomości="stały %",AG90*(1+Tabela3[[#This Row],[Stały % zmiany warrtości]]),IF(ZmianaWartościNieruchomości="stała kwota",AG90+AF91,AG90)))))</f>
        <v>0</v>
      </c>
      <c r="AH91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91" s="177" cm="1">
        <f t="array" ref="AI91">Tabela3[[#This Row],[Wynik z najmu netto rocznie]]/IF(CzyKredyt="Tak",WydanaGotówka2,WydanaGotówka1)</f>
        <v>0</v>
      </c>
      <c r="AJ91" s="177" cm="1">
        <f t="array" ref="AJ91">Tabela3[[#This Row],[Wynik z najmu netto rocznie]]/IF(CzyKredyt="Tak",SumaKosztówPoczątkowychInwestycji,SumaKosztów)</f>
        <v>0</v>
      </c>
      <c r="AK91" s="155" cm="1">
        <f t="array" ref="AK91">IF(Tabela3[[#This Row],[Rok]]&gt;HoryzontInwestycyjny,0,-IF(CzyKredyt="Tak",WydanaGotówka2,WydanaGotówka1)+Tabela3[[#This Row],[Skumulowany wynik z najmu netto z najmu]])</f>
        <v>0</v>
      </c>
    </row>
    <row r="92" spans="3:37">
      <c r="C92" s="158">
        <v>39</v>
      </c>
      <c r="D92" s="152">
        <f t="shared" si="4"/>
        <v>0.02</v>
      </c>
      <c r="E92" s="152">
        <f t="shared" si="5"/>
        <v>0.04</v>
      </c>
      <c r="F92" s="167">
        <f t="shared" si="6"/>
        <v>150</v>
      </c>
      <c r="G92" s="151">
        <f>IF(Tabela3[[#This Row],[Rok]]&gt;HoryzontInwestycyjny,0,IF(ZmianaOdstępnego="bez zmian",G91,IF(ZmianaOdstępnego="inflacyjnie",G91*(1+Wyniki2!$D92),IF(ZmianaOdstępnego="stały %",G91*(1+Wyniki2!$E92),IF(ZmianaOdstępnego="stała kwota",G91+Wyniki2!$F92,)))))</f>
        <v>0</v>
      </c>
      <c r="H92" s="165">
        <f>IF(Tabela3[[#This Row],[Rok]]&gt;HoryzontInwestycyjny,0,MAX(0, MiesiąceNajmu - MAX(0, MAX(IFERROR(IF(MOD($C92, MałyRemont) = 0,Czas_MałyRemont, 0),0),IFERROR(IF(MOD($C92,DużyRemont) = 0,Czas_DużyRemont, 0),0)) - (12 -MiesiąceNajmu))))</f>
        <v>0</v>
      </c>
      <c r="I92" s="166">
        <f t="shared" si="3"/>
        <v>0</v>
      </c>
      <c r="J92" s="152" t="str">
        <f>IF(Tabela3[[#This Row],[Rok]]&gt;HoryzontInwestycyjny,"",IF(ZmianaKosztów="TAK",Inflacja,0))</f>
        <v/>
      </c>
      <c r="K92" s="155"/>
      <c r="L92" s="155"/>
      <c r="M92" s="155"/>
      <c r="N92" s="171" cm="1">
        <f t="array" ref="N92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92" s="171" cm="1">
        <f t="array" ref="O92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92" s="155" cm="1">
        <f t="array" ref="P92">IF(Tabela3[[#This Row],[Rok]]&gt;HoryzontInwestycyjny,0,IF(12-Tabela3[[#This Row],[Liczba wynajętych miesięcy w roku]]&gt;0, (12-Tabela3[[#This Row],[Liczba wynajętych miesięcy w roku]]) *CzynszWspólnoty* IF(ZmianaKosztów="Tak", PRODUCT(1+J$54:INDEX($J$54:J92, ROWS($D$54:D92)-1)), 1), 0))</f>
        <v>0</v>
      </c>
      <c r="Q92" s="170">
        <f>IF(Tabela3[[#This Row],[Rok]]&gt;HoryzontInwestycyjny,0,SUMIF(Kredyt!$E:$E,Tabela3[[#This Row],[Rok]],Kredyt!$I:$I))</f>
        <v>0</v>
      </c>
      <c r="R92" s="171">
        <f>IF(Tabela3[[#This Row],[Rok]]&gt;HoryzontInwestycyjny,0,SUMIF(Kredyt!$E:$E,Tabela3[[#This Row],[Rok]],Kredyt!$J:$J))</f>
        <v>0</v>
      </c>
      <c r="S92" s="155">
        <f>Tabela3[[#This Row],[Rata kredytu: odsetki]]+Tabela3[[#This Row],[Rata kredytu: kapitał]]</f>
        <v>0</v>
      </c>
      <c r="T92" s="169" cm="1">
        <f t="array" ref="T92">IF(Tabela3[[#This Row],[Rok]]&gt;HoryzontInwestycyjny,0,IFERROR(INDEX(Kredyt!$M:$M,11+Tabela3[[#This Row],[Rok]]*12) * UbezŻyć,""))</f>
        <v>0</v>
      </c>
      <c r="U92" s="155" cm="1">
        <f t="array" ref="U92">IF(Tabela3[[#This Row],[Rok]]&gt;HoryzontInwestycyjny,0,IF(CzasKredytu&gt;=Tabela3[[#This Row],[Rok]],IF(ZmianaKosztów="Tak",UbezMiesz* PRODUCT(1+J92:J92), UbezMiesz),""))</f>
        <v>0</v>
      </c>
      <c r="V92" s="155" cm="1">
        <f t="array" ref="V92">IF(Tabela3[[#This Row],[Rok]]&gt;HoryzontInwestycyjny,0,IF(ZmianaKosztów="Tak", PodatekOdNieruchomości * PRODUCT(1+J$54:J91), PodNie))</f>
        <v>0</v>
      </c>
      <c r="W92" s="155">
        <f>KosztyZarządzania*Tabela3[[#This Row],[Przychody z wynajmu]]</f>
        <v>0</v>
      </c>
      <c r="X92" s="155" cm="1">
        <f t="array" ref="X92">IF(Tabela3[[#This Row],[Rok]]&gt;HoryzontInwestycyjny,0,IF(ZmianaKosztów="Tak", InneKosztyRocznie* PRODUCT(1+J$55:J92), InneKosztyRocznie))</f>
        <v>0</v>
      </c>
      <c r="Y92" s="155">
        <f>SUM(Tabela3[[#This Row],[Cena mieszkania + remont początkowy]:[Inne koszty]])-Tabela3[[#This Row],[Rata kredytu]]</f>
        <v>0</v>
      </c>
      <c r="Z92" s="155">
        <f>IF(Tabela3[[#This Row],[Przychody z wynajmu]]&lt;=100000, Tabela3[[#This Row],[Przychody z wynajmu]]*MałyPodatek, 100000*MałyPodatek + (Tabela3[[#This Row],[Przychody z wynajmu]]-100000)*DużyPodatek)</f>
        <v>0</v>
      </c>
      <c r="AA92" s="155">
        <f>Tabela3[[#This Row],[Wydatki związane z najmem całkowite]]+Tabela3[[#This Row],[Podatek od przychodu]]</f>
        <v>0</v>
      </c>
      <c r="AB92" s="155">
        <f>IF(Tabela3[[#This Row],[Rok]]&gt;HoryzontInwestycyjny,0,Tabela3[[#This Row],[Przychody z wynajmu]]-Tabela3[[#This Row],[Wydatki związane z najmem całkowite]]-Tabela3[[#This Row],[Podatek od przychodu]])</f>
        <v>0</v>
      </c>
      <c r="AC92" s="155">
        <f>IF(Tabela3[[#This Row],[Rok]]&gt;HoryzontInwestycyjny,0,AC91+Tabela3[[#This Row],[Wynik z najmu netto rocznie]])</f>
        <v>0</v>
      </c>
      <c r="AD92" s="176" t="str">
        <f>IF(Tabela3[[#This Row],[Rok]]&gt;HoryzontInwestycyjny,"",IF(ZmianaWartościNieruchomości="Inflacyjnie",Inflacja,0))</f>
        <v/>
      </c>
      <c r="AE92" s="177" t="str">
        <f>IF(Tabela3[[#This Row],[Rok]]&gt;HoryzontInwestycyjny,"",StałyProcentZmianyWartościNieruchomości)</f>
        <v/>
      </c>
      <c r="AF92" s="178" t="str">
        <f>IF(Tabela3[[#This Row],[Rok]]&gt;HoryzontInwestycyjny,"",StałaKwotaZmianyWartościNieruchomości)</f>
        <v/>
      </c>
      <c r="AG92" s="155">
        <f>IF(Tabela3[[#This Row],[Rok]]&gt;HoryzontInwestycyjny,0,IF(ZmianaWartościNieruchomości="bez zmian",AG91,IF(ZmianaWartościNieruchomości="inflacyjnie",AG91*(1+Tabela3[[#This Row],[Inflacja3]]),IF(ZmianaWartościNieruchomości="stały %",AG91*(1+Tabela3[[#This Row],[Stały % zmiany warrtości]]),IF(ZmianaWartościNieruchomości="stała kwota",AG91+AF92,AG91)))))</f>
        <v>0</v>
      </c>
      <c r="AH92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92" s="177" cm="1">
        <f t="array" ref="AI92">Tabela3[[#This Row],[Wynik z najmu netto rocznie]]/IF(CzyKredyt="Tak",WydanaGotówka2,WydanaGotówka1)</f>
        <v>0</v>
      </c>
      <c r="AJ92" s="177" cm="1">
        <f t="array" ref="AJ92">Tabela3[[#This Row],[Wynik z najmu netto rocznie]]/IF(CzyKredyt="Tak",SumaKosztówPoczątkowychInwestycji,SumaKosztów)</f>
        <v>0</v>
      </c>
      <c r="AK92" s="155" cm="1">
        <f t="array" ref="AK92">IF(Tabela3[[#This Row],[Rok]]&gt;HoryzontInwestycyjny,0,-IF(CzyKredyt="Tak",WydanaGotówka2,WydanaGotówka1)+Tabela3[[#This Row],[Skumulowany wynik z najmu netto z najmu]])</f>
        <v>0</v>
      </c>
    </row>
    <row r="93" spans="3:37">
      <c r="C93" s="158">
        <v>40</v>
      </c>
      <c r="D93" s="152">
        <f t="shared" si="4"/>
        <v>0.02</v>
      </c>
      <c r="E93" s="152">
        <f t="shared" si="5"/>
        <v>0.04</v>
      </c>
      <c r="F93" s="167">
        <f t="shared" si="6"/>
        <v>150</v>
      </c>
      <c r="G93" s="151">
        <f>IF(Tabela3[[#This Row],[Rok]]&gt;HoryzontInwestycyjny,0,IF(ZmianaOdstępnego="bez zmian",G92,IF(ZmianaOdstępnego="inflacyjnie",G92*(1+Wyniki2!$D93),IF(ZmianaOdstępnego="stały %",G92*(1+Wyniki2!$E93),IF(ZmianaOdstępnego="stała kwota",G92+Wyniki2!$F93,)))))</f>
        <v>0</v>
      </c>
      <c r="H93" s="165">
        <f>IF(Tabela3[[#This Row],[Rok]]&gt;HoryzontInwestycyjny,0,MAX(0, MiesiąceNajmu - MAX(0, MAX(IFERROR(IF(MOD($C93, MałyRemont) = 0,Czas_MałyRemont, 0),0),IFERROR(IF(MOD($C93,DużyRemont) = 0,Czas_DużyRemont, 0),0)) - (12 -MiesiąceNajmu))))</f>
        <v>0</v>
      </c>
      <c r="I93" s="166">
        <f t="shared" si="3"/>
        <v>0</v>
      </c>
      <c r="J93" s="152" t="str">
        <f>IF(Tabela3[[#This Row],[Rok]]&gt;HoryzontInwestycyjny,"",IF(ZmianaKosztów="TAK",Inflacja,0))</f>
        <v/>
      </c>
      <c r="K93" s="155"/>
      <c r="L93" s="155"/>
      <c r="M93" s="155"/>
      <c r="N93" s="171" cm="1">
        <f t="array" ref="N93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93" s="171" cm="1">
        <f t="array" ref="O93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93" s="155" cm="1">
        <f t="array" ref="P93">IF(Tabela3[[#This Row],[Rok]]&gt;HoryzontInwestycyjny,0,IF(12-Tabela3[[#This Row],[Liczba wynajętych miesięcy w roku]]&gt;0, (12-Tabela3[[#This Row],[Liczba wynajętych miesięcy w roku]]) *CzynszWspólnoty* IF(ZmianaKosztów="Tak", PRODUCT(1+J$54:INDEX($J$54:J93, ROWS($D$54:D93)-1)), 1), 0))</f>
        <v>0</v>
      </c>
      <c r="Q93" s="170">
        <f>IF(Tabela3[[#This Row],[Rok]]&gt;HoryzontInwestycyjny,0,SUMIF(Kredyt!$E:$E,Tabela3[[#This Row],[Rok]],Kredyt!$I:$I))</f>
        <v>0</v>
      </c>
      <c r="R93" s="171">
        <f>IF(Tabela3[[#This Row],[Rok]]&gt;HoryzontInwestycyjny,0,SUMIF(Kredyt!$E:$E,Tabela3[[#This Row],[Rok]],Kredyt!$J:$J))</f>
        <v>0</v>
      </c>
      <c r="S93" s="155">
        <f>Tabela3[[#This Row],[Rata kredytu: odsetki]]+Tabela3[[#This Row],[Rata kredytu: kapitał]]</f>
        <v>0</v>
      </c>
      <c r="T93" s="169" cm="1">
        <f t="array" ref="T93">IF(Tabela3[[#This Row],[Rok]]&gt;HoryzontInwestycyjny,0,IFERROR(INDEX(Kredyt!$M:$M,11+Tabela3[[#This Row],[Rok]]*12) * UbezŻyć,""))</f>
        <v>0</v>
      </c>
      <c r="U93" s="155" cm="1">
        <f t="array" ref="U93">IF(Tabela3[[#This Row],[Rok]]&gt;HoryzontInwestycyjny,0,IF(CzasKredytu&gt;=Tabela3[[#This Row],[Rok]],IF(ZmianaKosztów="Tak",UbezMiesz* PRODUCT(1+J93:J93), UbezMiesz),""))</f>
        <v>0</v>
      </c>
      <c r="V93" s="155" cm="1">
        <f t="array" ref="V93">IF(Tabela3[[#This Row],[Rok]]&gt;HoryzontInwestycyjny,0,IF(ZmianaKosztów="Tak", PodatekOdNieruchomości * PRODUCT(1+J$54:J92), PodNie))</f>
        <v>0</v>
      </c>
      <c r="W93" s="155">
        <f>KosztyZarządzania*Tabela3[[#This Row],[Przychody z wynajmu]]</f>
        <v>0</v>
      </c>
      <c r="X93" s="155" cm="1">
        <f t="array" ref="X93">IF(Tabela3[[#This Row],[Rok]]&gt;HoryzontInwestycyjny,0,IF(ZmianaKosztów="Tak", InneKosztyRocznie* PRODUCT(1+J$55:J93), InneKosztyRocznie))</f>
        <v>0</v>
      </c>
      <c r="Y93" s="155">
        <f>SUM(Tabela3[[#This Row],[Cena mieszkania + remont początkowy]:[Inne koszty]])-Tabela3[[#This Row],[Rata kredytu]]</f>
        <v>0</v>
      </c>
      <c r="Z93" s="155">
        <f>IF(Tabela3[[#This Row],[Przychody z wynajmu]]&lt;=100000, Tabela3[[#This Row],[Przychody z wynajmu]]*MałyPodatek, 100000*MałyPodatek + (Tabela3[[#This Row],[Przychody z wynajmu]]-100000)*DużyPodatek)</f>
        <v>0</v>
      </c>
      <c r="AA93" s="155">
        <f>Tabela3[[#This Row],[Wydatki związane z najmem całkowite]]+Tabela3[[#This Row],[Podatek od przychodu]]</f>
        <v>0</v>
      </c>
      <c r="AB93" s="155">
        <f>IF(Tabela3[[#This Row],[Rok]]&gt;HoryzontInwestycyjny,0,Tabela3[[#This Row],[Przychody z wynajmu]]-Tabela3[[#This Row],[Wydatki związane z najmem całkowite]]-Tabela3[[#This Row],[Podatek od przychodu]])</f>
        <v>0</v>
      </c>
      <c r="AC93" s="155">
        <f>IF(Tabela3[[#This Row],[Rok]]&gt;HoryzontInwestycyjny,0,AC92+Tabela3[[#This Row],[Wynik z najmu netto rocznie]])</f>
        <v>0</v>
      </c>
      <c r="AD93" s="176" t="str">
        <f>IF(Tabela3[[#This Row],[Rok]]&gt;HoryzontInwestycyjny,"",IF(ZmianaWartościNieruchomości="Inflacyjnie",Inflacja,0))</f>
        <v/>
      </c>
      <c r="AE93" s="177" t="str">
        <f>IF(Tabela3[[#This Row],[Rok]]&gt;HoryzontInwestycyjny,"",StałyProcentZmianyWartościNieruchomości)</f>
        <v/>
      </c>
      <c r="AF93" s="178" t="str">
        <f>IF(Tabela3[[#This Row],[Rok]]&gt;HoryzontInwestycyjny,"",StałaKwotaZmianyWartościNieruchomości)</f>
        <v/>
      </c>
      <c r="AG93" s="155">
        <f>IF(Tabela3[[#This Row],[Rok]]&gt;HoryzontInwestycyjny,0,IF(ZmianaWartościNieruchomości="bez zmian",AG92,IF(ZmianaWartościNieruchomości="inflacyjnie",AG92*(1+Tabela3[[#This Row],[Inflacja3]]),IF(ZmianaWartościNieruchomości="stały %",AG92*(1+Tabela3[[#This Row],[Stały % zmiany warrtości]]),IF(ZmianaWartościNieruchomości="stała kwota",AG92+AF93,AG92)))))</f>
        <v>0</v>
      </c>
      <c r="AH93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93" s="177" cm="1">
        <f t="array" ref="AI93">Tabela3[[#This Row],[Wynik z najmu netto rocznie]]/IF(CzyKredyt="Tak",WydanaGotówka2,WydanaGotówka1)</f>
        <v>0</v>
      </c>
      <c r="AJ93" s="177" cm="1">
        <f t="array" ref="AJ93">Tabela3[[#This Row],[Wynik z najmu netto rocznie]]/IF(CzyKredyt="Tak",SumaKosztówPoczątkowychInwestycji,SumaKosztów)</f>
        <v>0</v>
      </c>
      <c r="AK93" s="155" cm="1">
        <f t="array" ref="AK93">IF(Tabela3[[#This Row],[Rok]]&gt;HoryzontInwestycyjny,0,-IF(CzyKredyt="Tak",WydanaGotówka2,WydanaGotówka1)+Tabela3[[#This Row],[Skumulowany wynik z najmu netto z najmu]])</f>
        <v>0</v>
      </c>
    </row>
    <row r="94" spans="3:37">
      <c r="C94" s="158">
        <v>41</v>
      </c>
      <c r="D94" s="152">
        <f t="shared" si="4"/>
        <v>0.02</v>
      </c>
      <c r="E94" s="152">
        <f t="shared" si="5"/>
        <v>0.04</v>
      </c>
      <c r="F94" s="167">
        <f t="shared" si="6"/>
        <v>150</v>
      </c>
      <c r="G94" s="151">
        <f>IF(Tabela3[[#This Row],[Rok]]&gt;HoryzontInwestycyjny,0,IF(ZmianaOdstępnego="bez zmian",G93,IF(ZmianaOdstępnego="inflacyjnie",G93*(1+Wyniki2!$D94),IF(ZmianaOdstępnego="stały %",G93*(1+Wyniki2!$E94),IF(ZmianaOdstępnego="stała kwota",G93+Wyniki2!$F94,)))))</f>
        <v>0</v>
      </c>
      <c r="H94" s="165">
        <f>IF(Tabela3[[#This Row],[Rok]]&gt;HoryzontInwestycyjny,0,MAX(0, MiesiąceNajmu - MAX(0, MAX(IFERROR(IF(MOD($C94, MałyRemont) = 0,Czas_MałyRemont, 0),0),IFERROR(IF(MOD($C94,DużyRemont) = 0,Czas_DużyRemont, 0),0)) - (12 -MiesiąceNajmu))))</f>
        <v>0</v>
      </c>
      <c r="I94" s="166">
        <f t="shared" si="3"/>
        <v>0</v>
      </c>
      <c r="J94" s="152" t="str">
        <f>IF(Tabela3[[#This Row],[Rok]]&gt;HoryzontInwestycyjny,"",IF(ZmianaKosztów="TAK",Inflacja,0))</f>
        <v/>
      </c>
      <c r="K94" s="155"/>
      <c r="L94" s="155"/>
      <c r="M94" s="155"/>
      <c r="N94" s="171" cm="1">
        <f t="array" ref="N94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94" s="171" cm="1">
        <f t="array" ref="O94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94" s="155" cm="1">
        <f t="array" ref="P94">IF(Tabela3[[#This Row],[Rok]]&gt;HoryzontInwestycyjny,0,IF(12-Tabela3[[#This Row],[Liczba wynajętych miesięcy w roku]]&gt;0, (12-Tabela3[[#This Row],[Liczba wynajętych miesięcy w roku]]) *CzynszWspólnoty* IF(ZmianaKosztów="Tak", PRODUCT(1+J$54:INDEX($J$54:J94, ROWS($D$54:D94)-1)), 1), 0))</f>
        <v>0</v>
      </c>
      <c r="Q94" s="170">
        <f>IF(Tabela3[[#This Row],[Rok]]&gt;HoryzontInwestycyjny,0,SUMIF(Kredyt!$E:$E,Tabela3[[#This Row],[Rok]],Kredyt!$I:$I))</f>
        <v>0</v>
      </c>
      <c r="R94" s="171">
        <f>IF(Tabela3[[#This Row],[Rok]]&gt;HoryzontInwestycyjny,0,SUMIF(Kredyt!$E:$E,Tabela3[[#This Row],[Rok]],Kredyt!$J:$J))</f>
        <v>0</v>
      </c>
      <c r="S94" s="155">
        <f>Tabela3[[#This Row],[Rata kredytu: odsetki]]+Tabela3[[#This Row],[Rata kredytu: kapitał]]</f>
        <v>0</v>
      </c>
      <c r="T94" s="169" cm="1">
        <f t="array" ref="T94">IF(Tabela3[[#This Row],[Rok]]&gt;HoryzontInwestycyjny,0,IFERROR(INDEX(Kredyt!$M:$M,11+Tabela3[[#This Row],[Rok]]*12) * UbezŻyć,""))</f>
        <v>0</v>
      </c>
      <c r="U94" s="155" cm="1">
        <f t="array" ref="U94">IF(Tabela3[[#This Row],[Rok]]&gt;HoryzontInwestycyjny,0,IF(CzasKredytu&gt;=Tabela3[[#This Row],[Rok]],IF(ZmianaKosztów="Tak",UbezMiesz* PRODUCT(1+J94:J94), UbezMiesz),""))</f>
        <v>0</v>
      </c>
      <c r="V94" s="155" cm="1">
        <f t="array" ref="V94">IF(Tabela3[[#This Row],[Rok]]&gt;HoryzontInwestycyjny,0,IF(ZmianaKosztów="Tak", PodatekOdNieruchomości * PRODUCT(1+J$54:J93), PodNie))</f>
        <v>0</v>
      </c>
      <c r="W94" s="155">
        <f>KosztyZarządzania*Tabela3[[#This Row],[Przychody z wynajmu]]</f>
        <v>0</v>
      </c>
      <c r="X94" s="155" cm="1">
        <f t="array" ref="X94">IF(Tabela3[[#This Row],[Rok]]&gt;HoryzontInwestycyjny,0,IF(ZmianaKosztów="Tak", InneKosztyRocznie* PRODUCT(1+J$55:J94), InneKosztyRocznie))</f>
        <v>0</v>
      </c>
      <c r="Y94" s="155">
        <f>SUM(Tabela3[[#This Row],[Cena mieszkania + remont początkowy]:[Inne koszty]])-Tabela3[[#This Row],[Rata kredytu]]</f>
        <v>0</v>
      </c>
      <c r="Z94" s="155">
        <f>IF(Tabela3[[#This Row],[Przychody z wynajmu]]&lt;=100000, Tabela3[[#This Row],[Przychody z wynajmu]]*MałyPodatek, 100000*MałyPodatek + (Tabela3[[#This Row],[Przychody z wynajmu]]-100000)*DużyPodatek)</f>
        <v>0</v>
      </c>
      <c r="AA94" s="155">
        <f>Tabela3[[#This Row],[Wydatki związane z najmem całkowite]]+Tabela3[[#This Row],[Podatek od przychodu]]</f>
        <v>0</v>
      </c>
      <c r="AB94" s="155">
        <f>IF(Tabela3[[#This Row],[Rok]]&gt;HoryzontInwestycyjny,0,Tabela3[[#This Row],[Przychody z wynajmu]]-Tabela3[[#This Row],[Wydatki związane z najmem całkowite]]-Tabela3[[#This Row],[Podatek od przychodu]])</f>
        <v>0</v>
      </c>
      <c r="AC94" s="155">
        <f>IF(Tabela3[[#This Row],[Rok]]&gt;HoryzontInwestycyjny,0,AC93+Tabela3[[#This Row],[Wynik z najmu netto rocznie]])</f>
        <v>0</v>
      </c>
      <c r="AD94" s="176" t="str">
        <f>IF(Tabela3[[#This Row],[Rok]]&gt;HoryzontInwestycyjny,"",IF(ZmianaWartościNieruchomości="Inflacyjnie",Inflacja,0))</f>
        <v/>
      </c>
      <c r="AE94" s="177" t="str">
        <f>IF(Tabela3[[#This Row],[Rok]]&gt;HoryzontInwestycyjny,"",StałyProcentZmianyWartościNieruchomości)</f>
        <v/>
      </c>
      <c r="AF94" s="178" t="str">
        <f>IF(Tabela3[[#This Row],[Rok]]&gt;HoryzontInwestycyjny,"",StałaKwotaZmianyWartościNieruchomości)</f>
        <v/>
      </c>
      <c r="AG94" s="155">
        <f>IF(Tabela3[[#This Row],[Rok]]&gt;HoryzontInwestycyjny,0,IF(ZmianaWartościNieruchomości="bez zmian",AG93,IF(ZmianaWartościNieruchomości="inflacyjnie",AG93*(1+Tabela3[[#This Row],[Inflacja3]]),IF(ZmianaWartościNieruchomości="stały %",AG93*(1+Tabela3[[#This Row],[Stały % zmiany warrtości]]),IF(ZmianaWartościNieruchomości="stała kwota",AG93+AF94,AG93)))))</f>
        <v>0</v>
      </c>
      <c r="AH94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94" s="177" cm="1">
        <f t="array" ref="AI94">Tabela3[[#This Row],[Wynik z najmu netto rocznie]]/IF(CzyKredyt="Tak",WydanaGotówka2,WydanaGotówka1)</f>
        <v>0</v>
      </c>
      <c r="AJ94" s="177" cm="1">
        <f t="array" ref="AJ94">Tabela3[[#This Row],[Wynik z najmu netto rocznie]]/IF(CzyKredyt="Tak",SumaKosztówPoczątkowychInwestycji,SumaKosztów)</f>
        <v>0</v>
      </c>
      <c r="AK94" s="155" cm="1">
        <f t="array" ref="AK94">IF(Tabela3[[#This Row],[Rok]]&gt;HoryzontInwestycyjny,0,-IF(CzyKredyt="Tak",WydanaGotówka2,WydanaGotówka1)+Tabela3[[#This Row],[Skumulowany wynik z najmu netto z najmu]])</f>
        <v>0</v>
      </c>
    </row>
    <row r="95" spans="3:37">
      <c r="C95" s="158">
        <v>42</v>
      </c>
      <c r="D95" s="152">
        <f t="shared" si="4"/>
        <v>0.02</v>
      </c>
      <c r="E95" s="152">
        <f t="shared" si="5"/>
        <v>0.04</v>
      </c>
      <c r="F95" s="167">
        <f t="shared" si="6"/>
        <v>150</v>
      </c>
      <c r="G95" s="151">
        <f>IF(Tabela3[[#This Row],[Rok]]&gt;HoryzontInwestycyjny,0,IF(ZmianaOdstępnego="bez zmian",G94,IF(ZmianaOdstępnego="inflacyjnie",G94*(1+Wyniki2!$D95),IF(ZmianaOdstępnego="stały %",G94*(1+Wyniki2!$E95),IF(ZmianaOdstępnego="stała kwota",G94+Wyniki2!$F95,)))))</f>
        <v>0</v>
      </c>
      <c r="H95" s="165">
        <f>IF(Tabela3[[#This Row],[Rok]]&gt;HoryzontInwestycyjny,0,MAX(0, MiesiąceNajmu - MAX(0, MAX(IFERROR(IF(MOD($C95, MałyRemont) = 0,Czas_MałyRemont, 0),0),IFERROR(IF(MOD($C95,DużyRemont) = 0,Czas_DużyRemont, 0),0)) - (12 -MiesiąceNajmu))))</f>
        <v>0</v>
      </c>
      <c r="I95" s="166">
        <f t="shared" si="3"/>
        <v>0</v>
      </c>
      <c r="J95" s="152" t="str">
        <f>IF(Tabela3[[#This Row],[Rok]]&gt;HoryzontInwestycyjny,"",IF(ZmianaKosztów="TAK",Inflacja,0))</f>
        <v/>
      </c>
      <c r="K95" s="155"/>
      <c r="L95" s="155"/>
      <c r="M95" s="155"/>
      <c r="N95" s="171" cm="1">
        <f t="array" ref="N95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95" s="171" cm="1">
        <f t="array" ref="O95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95" s="155" cm="1">
        <f t="array" ref="P95">IF(Tabela3[[#This Row],[Rok]]&gt;HoryzontInwestycyjny,0,IF(12-Tabela3[[#This Row],[Liczba wynajętych miesięcy w roku]]&gt;0, (12-Tabela3[[#This Row],[Liczba wynajętych miesięcy w roku]]) *CzynszWspólnoty* IF(ZmianaKosztów="Tak", PRODUCT(1+J$54:INDEX($J$54:J95, ROWS($D$54:D95)-1)), 1), 0))</f>
        <v>0</v>
      </c>
      <c r="Q95" s="170">
        <f>IF(Tabela3[[#This Row],[Rok]]&gt;HoryzontInwestycyjny,0,SUMIF(Kredyt!$E:$E,Tabela3[[#This Row],[Rok]],Kredyt!$I:$I))</f>
        <v>0</v>
      </c>
      <c r="R95" s="171">
        <f>IF(Tabela3[[#This Row],[Rok]]&gt;HoryzontInwestycyjny,0,SUMIF(Kredyt!$E:$E,Tabela3[[#This Row],[Rok]],Kredyt!$J:$J))</f>
        <v>0</v>
      </c>
      <c r="S95" s="155">
        <f>Tabela3[[#This Row],[Rata kredytu: odsetki]]+Tabela3[[#This Row],[Rata kredytu: kapitał]]</f>
        <v>0</v>
      </c>
      <c r="T95" s="169" cm="1">
        <f t="array" ref="T95">IF(Tabela3[[#This Row],[Rok]]&gt;HoryzontInwestycyjny,0,IFERROR(INDEX(Kredyt!$M:$M,11+Tabela3[[#This Row],[Rok]]*12) * UbezŻyć,""))</f>
        <v>0</v>
      </c>
      <c r="U95" s="155" cm="1">
        <f t="array" ref="U95">IF(Tabela3[[#This Row],[Rok]]&gt;HoryzontInwestycyjny,0,IF(CzasKredytu&gt;=Tabela3[[#This Row],[Rok]],IF(ZmianaKosztów="Tak",UbezMiesz* PRODUCT(1+J95:J95), UbezMiesz),""))</f>
        <v>0</v>
      </c>
      <c r="V95" s="155" cm="1">
        <f t="array" ref="V95">IF(Tabela3[[#This Row],[Rok]]&gt;HoryzontInwestycyjny,0,IF(ZmianaKosztów="Tak", PodatekOdNieruchomości * PRODUCT(1+J$54:J94), PodNie))</f>
        <v>0</v>
      </c>
      <c r="W95" s="155">
        <f>KosztyZarządzania*Tabela3[[#This Row],[Przychody z wynajmu]]</f>
        <v>0</v>
      </c>
      <c r="X95" s="155" cm="1">
        <f t="array" ref="X95">IF(Tabela3[[#This Row],[Rok]]&gt;HoryzontInwestycyjny,0,IF(ZmianaKosztów="Tak", InneKosztyRocznie* PRODUCT(1+J$55:J95), InneKosztyRocznie))</f>
        <v>0</v>
      </c>
      <c r="Y95" s="155">
        <f>SUM(Tabela3[[#This Row],[Cena mieszkania + remont początkowy]:[Inne koszty]])-Tabela3[[#This Row],[Rata kredytu]]</f>
        <v>0</v>
      </c>
      <c r="Z95" s="155">
        <f>IF(Tabela3[[#This Row],[Przychody z wynajmu]]&lt;=100000, Tabela3[[#This Row],[Przychody z wynajmu]]*MałyPodatek, 100000*MałyPodatek + (Tabela3[[#This Row],[Przychody z wynajmu]]-100000)*DużyPodatek)</f>
        <v>0</v>
      </c>
      <c r="AA95" s="155">
        <f>Tabela3[[#This Row],[Wydatki związane z najmem całkowite]]+Tabela3[[#This Row],[Podatek od przychodu]]</f>
        <v>0</v>
      </c>
      <c r="AB95" s="155">
        <f>IF(Tabela3[[#This Row],[Rok]]&gt;HoryzontInwestycyjny,0,Tabela3[[#This Row],[Przychody z wynajmu]]-Tabela3[[#This Row],[Wydatki związane z najmem całkowite]]-Tabela3[[#This Row],[Podatek od przychodu]])</f>
        <v>0</v>
      </c>
      <c r="AC95" s="155">
        <f>IF(Tabela3[[#This Row],[Rok]]&gt;HoryzontInwestycyjny,0,AC94+Tabela3[[#This Row],[Wynik z najmu netto rocznie]])</f>
        <v>0</v>
      </c>
      <c r="AD95" s="176" t="str">
        <f>IF(Tabela3[[#This Row],[Rok]]&gt;HoryzontInwestycyjny,"",IF(ZmianaWartościNieruchomości="Inflacyjnie",Inflacja,0))</f>
        <v/>
      </c>
      <c r="AE95" s="177" t="str">
        <f>IF(Tabela3[[#This Row],[Rok]]&gt;HoryzontInwestycyjny,"",StałyProcentZmianyWartościNieruchomości)</f>
        <v/>
      </c>
      <c r="AF95" s="178" t="str">
        <f>IF(Tabela3[[#This Row],[Rok]]&gt;HoryzontInwestycyjny,"",StałaKwotaZmianyWartościNieruchomości)</f>
        <v/>
      </c>
      <c r="AG95" s="155">
        <f>IF(Tabela3[[#This Row],[Rok]]&gt;HoryzontInwestycyjny,0,IF(ZmianaWartościNieruchomości="bez zmian",AG94,IF(ZmianaWartościNieruchomości="inflacyjnie",AG94*(1+Tabela3[[#This Row],[Inflacja3]]),IF(ZmianaWartościNieruchomości="stały %",AG94*(1+Tabela3[[#This Row],[Stały % zmiany warrtości]]),IF(ZmianaWartościNieruchomości="stała kwota",AG94+AF95,AG94)))))</f>
        <v>0</v>
      </c>
      <c r="AH95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95" s="177" cm="1">
        <f t="array" ref="AI95">Tabela3[[#This Row],[Wynik z najmu netto rocznie]]/IF(CzyKredyt="Tak",WydanaGotówka2,WydanaGotówka1)</f>
        <v>0</v>
      </c>
      <c r="AJ95" s="177" cm="1">
        <f t="array" ref="AJ95">Tabela3[[#This Row],[Wynik z najmu netto rocznie]]/IF(CzyKredyt="Tak",SumaKosztówPoczątkowychInwestycji,SumaKosztów)</f>
        <v>0</v>
      </c>
      <c r="AK95" s="155" cm="1">
        <f t="array" ref="AK95">IF(Tabela3[[#This Row],[Rok]]&gt;HoryzontInwestycyjny,0,-IF(CzyKredyt="Tak",WydanaGotówka2,WydanaGotówka1)+Tabela3[[#This Row],[Skumulowany wynik z najmu netto z najmu]])</f>
        <v>0</v>
      </c>
    </row>
    <row r="96" spans="3:37">
      <c r="C96" s="158">
        <v>43</v>
      </c>
      <c r="D96" s="152">
        <f t="shared" si="4"/>
        <v>0.02</v>
      </c>
      <c r="E96" s="152">
        <f t="shared" si="5"/>
        <v>0.04</v>
      </c>
      <c r="F96" s="167">
        <f t="shared" si="6"/>
        <v>150</v>
      </c>
      <c r="G96" s="151">
        <f>IF(Tabela3[[#This Row],[Rok]]&gt;HoryzontInwestycyjny,0,IF(ZmianaOdstępnego="bez zmian",G95,IF(ZmianaOdstępnego="inflacyjnie",G95*(1+Wyniki2!$D96),IF(ZmianaOdstępnego="stały %",G95*(1+Wyniki2!$E96),IF(ZmianaOdstępnego="stała kwota",G95+Wyniki2!$F96,)))))</f>
        <v>0</v>
      </c>
      <c r="H96" s="165">
        <f>IF(Tabela3[[#This Row],[Rok]]&gt;HoryzontInwestycyjny,0,MAX(0, MiesiąceNajmu - MAX(0, MAX(IFERROR(IF(MOD($C96, MałyRemont) = 0,Czas_MałyRemont, 0),0),IFERROR(IF(MOD($C96,DużyRemont) = 0,Czas_DużyRemont, 0),0)) - (12 -MiesiąceNajmu))))</f>
        <v>0</v>
      </c>
      <c r="I96" s="166">
        <f t="shared" si="3"/>
        <v>0</v>
      </c>
      <c r="J96" s="152" t="str">
        <f>IF(Tabela3[[#This Row],[Rok]]&gt;HoryzontInwestycyjny,"",IF(ZmianaKosztów="TAK",Inflacja,0))</f>
        <v/>
      </c>
      <c r="K96" s="155"/>
      <c r="L96" s="155"/>
      <c r="M96" s="155"/>
      <c r="N96" s="171" cm="1">
        <f t="array" ref="N96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96" s="171" cm="1">
        <f t="array" ref="O96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96" s="155" cm="1">
        <f t="array" ref="P96">IF(Tabela3[[#This Row],[Rok]]&gt;HoryzontInwestycyjny,0,IF(12-Tabela3[[#This Row],[Liczba wynajętych miesięcy w roku]]&gt;0, (12-Tabela3[[#This Row],[Liczba wynajętych miesięcy w roku]]) *CzynszWspólnoty* IF(ZmianaKosztów="Tak", PRODUCT(1+J$54:INDEX($J$54:J96, ROWS($D$54:D96)-1)), 1), 0))</f>
        <v>0</v>
      </c>
      <c r="Q96" s="170">
        <f>IF(Tabela3[[#This Row],[Rok]]&gt;HoryzontInwestycyjny,0,SUMIF(Kredyt!$E:$E,Tabela3[[#This Row],[Rok]],Kredyt!$I:$I))</f>
        <v>0</v>
      </c>
      <c r="R96" s="171">
        <f>IF(Tabela3[[#This Row],[Rok]]&gt;HoryzontInwestycyjny,0,SUMIF(Kredyt!$E:$E,Tabela3[[#This Row],[Rok]],Kredyt!$J:$J))</f>
        <v>0</v>
      </c>
      <c r="S96" s="155">
        <f>Tabela3[[#This Row],[Rata kredytu: odsetki]]+Tabela3[[#This Row],[Rata kredytu: kapitał]]</f>
        <v>0</v>
      </c>
      <c r="T96" s="169" cm="1">
        <f t="array" ref="T96">IF(Tabela3[[#This Row],[Rok]]&gt;HoryzontInwestycyjny,0,IFERROR(INDEX(Kredyt!$M:$M,11+Tabela3[[#This Row],[Rok]]*12) * UbezŻyć,""))</f>
        <v>0</v>
      </c>
      <c r="U96" s="155" cm="1">
        <f t="array" ref="U96">IF(Tabela3[[#This Row],[Rok]]&gt;HoryzontInwestycyjny,0,IF(CzasKredytu&gt;=Tabela3[[#This Row],[Rok]],IF(ZmianaKosztów="Tak",UbezMiesz* PRODUCT(1+J96:J96), UbezMiesz),""))</f>
        <v>0</v>
      </c>
      <c r="V96" s="155" cm="1">
        <f t="array" ref="V96">IF(Tabela3[[#This Row],[Rok]]&gt;HoryzontInwestycyjny,0,IF(ZmianaKosztów="Tak", PodatekOdNieruchomości * PRODUCT(1+J$54:J95), PodNie))</f>
        <v>0</v>
      </c>
      <c r="W96" s="155">
        <f>KosztyZarządzania*Tabela3[[#This Row],[Przychody z wynajmu]]</f>
        <v>0</v>
      </c>
      <c r="X96" s="155" cm="1">
        <f t="array" ref="X96">IF(Tabela3[[#This Row],[Rok]]&gt;HoryzontInwestycyjny,0,IF(ZmianaKosztów="Tak", InneKosztyRocznie* PRODUCT(1+J$55:J96), InneKosztyRocznie))</f>
        <v>0</v>
      </c>
      <c r="Y96" s="155">
        <f>SUM(Tabela3[[#This Row],[Cena mieszkania + remont początkowy]:[Inne koszty]])-Tabela3[[#This Row],[Rata kredytu]]</f>
        <v>0</v>
      </c>
      <c r="Z96" s="155">
        <f>IF(Tabela3[[#This Row],[Przychody z wynajmu]]&lt;=100000, Tabela3[[#This Row],[Przychody z wynajmu]]*MałyPodatek, 100000*MałyPodatek + (Tabela3[[#This Row],[Przychody z wynajmu]]-100000)*DużyPodatek)</f>
        <v>0</v>
      </c>
      <c r="AA96" s="155">
        <f>Tabela3[[#This Row],[Wydatki związane z najmem całkowite]]+Tabela3[[#This Row],[Podatek od przychodu]]</f>
        <v>0</v>
      </c>
      <c r="AB96" s="155">
        <f>IF(Tabela3[[#This Row],[Rok]]&gt;HoryzontInwestycyjny,0,Tabela3[[#This Row],[Przychody z wynajmu]]-Tabela3[[#This Row],[Wydatki związane z najmem całkowite]]-Tabela3[[#This Row],[Podatek od przychodu]])</f>
        <v>0</v>
      </c>
      <c r="AC96" s="155">
        <f>IF(Tabela3[[#This Row],[Rok]]&gt;HoryzontInwestycyjny,0,AC95+Tabela3[[#This Row],[Wynik z najmu netto rocznie]])</f>
        <v>0</v>
      </c>
      <c r="AD96" s="176" t="str">
        <f>IF(Tabela3[[#This Row],[Rok]]&gt;HoryzontInwestycyjny,"",IF(ZmianaWartościNieruchomości="Inflacyjnie",Inflacja,0))</f>
        <v/>
      </c>
      <c r="AE96" s="177" t="str">
        <f>IF(Tabela3[[#This Row],[Rok]]&gt;HoryzontInwestycyjny,"",StałyProcentZmianyWartościNieruchomości)</f>
        <v/>
      </c>
      <c r="AF96" s="178" t="str">
        <f>IF(Tabela3[[#This Row],[Rok]]&gt;HoryzontInwestycyjny,"",StałaKwotaZmianyWartościNieruchomości)</f>
        <v/>
      </c>
      <c r="AG96" s="155">
        <f>IF(Tabela3[[#This Row],[Rok]]&gt;HoryzontInwestycyjny,0,IF(ZmianaWartościNieruchomości="bez zmian",AG95,IF(ZmianaWartościNieruchomości="inflacyjnie",AG95*(1+Tabela3[[#This Row],[Inflacja3]]),IF(ZmianaWartościNieruchomości="stały %",AG95*(1+Tabela3[[#This Row],[Stały % zmiany warrtości]]),IF(ZmianaWartościNieruchomości="stała kwota",AG95+AF96,AG95)))))</f>
        <v>0</v>
      </c>
      <c r="AH96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96" s="177" cm="1">
        <f t="array" ref="AI96">Tabela3[[#This Row],[Wynik z najmu netto rocznie]]/IF(CzyKredyt="Tak",WydanaGotówka2,WydanaGotówka1)</f>
        <v>0</v>
      </c>
      <c r="AJ96" s="177" cm="1">
        <f t="array" ref="AJ96">Tabela3[[#This Row],[Wynik z najmu netto rocznie]]/IF(CzyKredyt="Tak",SumaKosztówPoczątkowychInwestycji,SumaKosztów)</f>
        <v>0</v>
      </c>
      <c r="AK96" s="155" cm="1">
        <f t="array" ref="AK96">IF(Tabela3[[#This Row],[Rok]]&gt;HoryzontInwestycyjny,0,-IF(CzyKredyt="Tak",WydanaGotówka2,WydanaGotówka1)+Tabela3[[#This Row],[Skumulowany wynik z najmu netto z najmu]])</f>
        <v>0</v>
      </c>
    </row>
    <row r="97" spans="3:37">
      <c r="C97" s="158">
        <v>44</v>
      </c>
      <c r="D97" s="152">
        <f t="shared" si="4"/>
        <v>0.02</v>
      </c>
      <c r="E97" s="152">
        <f t="shared" si="5"/>
        <v>0.04</v>
      </c>
      <c r="F97" s="167">
        <f t="shared" si="6"/>
        <v>150</v>
      </c>
      <c r="G97" s="151">
        <f>IF(Tabela3[[#This Row],[Rok]]&gt;HoryzontInwestycyjny,0,IF(ZmianaOdstępnego="bez zmian",G96,IF(ZmianaOdstępnego="inflacyjnie",G96*(1+Wyniki2!$D97),IF(ZmianaOdstępnego="stały %",G96*(1+Wyniki2!$E97),IF(ZmianaOdstępnego="stała kwota",G96+Wyniki2!$F97,)))))</f>
        <v>0</v>
      </c>
      <c r="H97" s="165">
        <f>IF(Tabela3[[#This Row],[Rok]]&gt;HoryzontInwestycyjny,0,MAX(0, MiesiąceNajmu - MAX(0, MAX(IFERROR(IF(MOD($C97, MałyRemont) = 0,Czas_MałyRemont, 0),0),IFERROR(IF(MOD($C97,DużyRemont) = 0,Czas_DużyRemont, 0),0)) - (12 -MiesiąceNajmu))))</f>
        <v>0</v>
      </c>
      <c r="I97" s="166">
        <f t="shared" si="3"/>
        <v>0</v>
      </c>
      <c r="J97" s="152" t="str">
        <f>IF(Tabela3[[#This Row],[Rok]]&gt;HoryzontInwestycyjny,"",IF(ZmianaKosztów="TAK",Inflacja,0))</f>
        <v/>
      </c>
      <c r="K97" s="155"/>
      <c r="L97" s="155"/>
      <c r="M97" s="155"/>
      <c r="N97" s="171" cm="1">
        <f t="array" ref="N97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97" s="171" cm="1">
        <f t="array" ref="O97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97" s="155" cm="1">
        <f t="array" ref="P97">IF(Tabela3[[#This Row],[Rok]]&gt;HoryzontInwestycyjny,0,IF(12-Tabela3[[#This Row],[Liczba wynajętych miesięcy w roku]]&gt;0, (12-Tabela3[[#This Row],[Liczba wynajętych miesięcy w roku]]) *CzynszWspólnoty* IF(ZmianaKosztów="Tak", PRODUCT(1+J$54:INDEX($J$54:J97, ROWS($D$54:D97)-1)), 1), 0))</f>
        <v>0</v>
      </c>
      <c r="Q97" s="170">
        <f>IF(Tabela3[[#This Row],[Rok]]&gt;HoryzontInwestycyjny,0,SUMIF(Kredyt!$E:$E,Tabela3[[#This Row],[Rok]],Kredyt!$I:$I))</f>
        <v>0</v>
      </c>
      <c r="R97" s="171">
        <f>IF(Tabela3[[#This Row],[Rok]]&gt;HoryzontInwestycyjny,0,SUMIF(Kredyt!$E:$E,Tabela3[[#This Row],[Rok]],Kredyt!$J:$J))</f>
        <v>0</v>
      </c>
      <c r="S97" s="155">
        <f>Tabela3[[#This Row],[Rata kredytu: odsetki]]+Tabela3[[#This Row],[Rata kredytu: kapitał]]</f>
        <v>0</v>
      </c>
      <c r="T97" s="169" cm="1">
        <f t="array" ref="T97">IF(Tabela3[[#This Row],[Rok]]&gt;HoryzontInwestycyjny,0,IFERROR(INDEX(Kredyt!$M:$M,11+Tabela3[[#This Row],[Rok]]*12) * UbezŻyć,""))</f>
        <v>0</v>
      </c>
      <c r="U97" s="155" cm="1">
        <f t="array" ref="U97">IF(Tabela3[[#This Row],[Rok]]&gt;HoryzontInwestycyjny,0,IF(CzasKredytu&gt;=Tabela3[[#This Row],[Rok]],IF(ZmianaKosztów="Tak",UbezMiesz* PRODUCT(1+J97:J97), UbezMiesz),""))</f>
        <v>0</v>
      </c>
      <c r="V97" s="155" cm="1">
        <f t="array" ref="V97">IF(Tabela3[[#This Row],[Rok]]&gt;HoryzontInwestycyjny,0,IF(ZmianaKosztów="Tak", PodatekOdNieruchomości * PRODUCT(1+J$54:J96), PodNie))</f>
        <v>0</v>
      </c>
      <c r="W97" s="155">
        <f>KosztyZarządzania*Tabela3[[#This Row],[Przychody z wynajmu]]</f>
        <v>0</v>
      </c>
      <c r="X97" s="155" cm="1">
        <f t="array" ref="X97">IF(Tabela3[[#This Row],[Rok]]&gt;HoryzontInwestycyjny,0,IF(ZmianaKosztów="Tak", InneKosztyRocznie* PRODUCT(1+J$55:J97), InneKosztyRocznie))</f>
        <v>0</v>
      </c>
      <c r="Y97" s="155">
        <f>SUM(Tabela3[[#This Row],[Cena mieszkania + remont początkowy]:[Inne koszty]])-Tabela3[[#This Row],[Rata kredytu]]</f>
        <v>0</v>
      </c>
      <c r="Z97" s="155">
        <f>IF(Tabela3[[#This Row],[Przychody z wynajmu]]&lt;=100000, Tabela3[[#This Row],[Przychody z wynajmu]]*MałyPodatek, 100000*MałyPodatek + (Tabela3[[#This Row],[Przychody z wynajmu]]-100000)*DużyPodatek)</f>
        <v>0</v>
      </c>
      <c r="AA97" s="155">
        <f>Tabela3[[#This Row],[Wydatki związane z najmem całkowite]]+Tabela3[[#This Row],[Podatek od przychodu]]</f>
        <v>0</v>
      </c>
      <c r="AB97" s="155">
        <f>IF(Tabela3[[#This Row],[Rok]]&gt;HoryzontInwestycyjny,0,Tabela3[[#This Row],[Przychody z wynajmu]]-Tabela3[[#This Row],[Wydatki związane z najmem całkowite]]-Tabela3[[#This Row],[Podatek od przychodu]])</f>
        <v>0</v>
      </c>
      <c r="AC97" s="155">
        <f>IF(Tabela3[[#This Row],[Rok]]&gt;HoryzontInwestycyjny,0,AC96+Tabela3[[#This Row],[Wynik z najmu netto rocznie]])</f>
        <v>0</v>
      </c>
      <c r="AD97" s="176" t="str">
        <f>IF(Tabela3[[#This Row],[Rok]]&gt;HoryzontInwestycyjny,"",IF(ZmianaWartościNieruchomości="Inflacyjnie",Inflacja,0))</f>
        <v/>
      </c>
      <c r="AE97" s="177" t="str">
        <f>IF(Tabela3[[#This Row],[Rok]]&gt;HoryzontInwestycyjny,"",StałyProcentZmianyWartościNieruchomości)</f>
        <v/>
      </c>
      <c r="AF97" s="178" t="str">
        <f>IF(Tabela3[[#This Row],[Rok]]&gt;HoryzontInwestycyjny,"",StałaKwotaZmianyWartościNieruchomości)</f>
        <v/>
      </c>
      <c r="AG97" s="155">
        <f>IF(Tabela3[[#This Row],[Rok]]&gt;HoryzontInwestycyjny,0,IF(ZmianaWartościNieruchomości="bez zmian",AG96,IF(ZmianaWartościNieruchomości="inflacyjnie",AG96*(1+Tabela3[[#This Row],[Inflacja3]]),IF(ZmianaWartościNieruchomości="stały %",AG96*(1+Tabela3[[#This Row],[Stały % zmiany warrtości]]),IF(ZmianaWartościNieruchomości="stała kwota",AG96+AF97,AG96)))))</f>
        <v>0</v>
      </c>
      <c r="AH97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97" s="177" cm="1">
        <f t="array" ref="AI97">Tabela3[[#This Row],[Wynik z najmu netto rocznie]]/IF(CzyKredyt="Tak",WydanaGotówka2,WydanaGotówka1)</f>
        <v>0</v>
      </c>
      <c r="AJ97" s="177" cm="1">
        <f t="array" ref="AJ97">Tabela3[[#This Row],[Wynik z najmu netto rocznie]]/IF(CzyKredyt="Tak",SumaKosztówPoczątkowychInwestycji,SumaKosztów)</f>
        <v>0</v>
      </c>
      <c r="AK97" s="155" cm="1">
        <f t="array" ref="AK97">IF(Tabela3[[#This Row],[Rok]]&gt;HoryzontInwestycyjny,0,-IF(CzyKredyt="Tak",WydanaGotówka2,WydanaGotówka1)+Tabela3[[#This Row],[Skumulowany wynik z najmu netto z najmu]])</f>
        <v>0</v>
      </c>
    </row>
    <row r="98" spans="3:37">
      <c r="C98" s="158">
        <v>45</v>
      </c>
      <c r="D98" s="152">
        <f t="shared" si="4"/>
        <v>0.02</v>
      </c>
      <c r="E98" s="152">
        <f t="shared" si="5"/>
        <v>0.04</v>
      </c>
      <c r="F98" s="167">
        <f t="shared" si="6"/>
        <v>150</v>
      </c>
      <c r="G98" s="151">
        <f>IF(Tabela3[[#This Row],[Rok]]&gt;HoryzontInwestycyjny,0,IF(ZmianaOdstępnego="bez zmian",G97,IF(ZmianaOdstępnego="inflacyjnie",G97*(1+Wyniki2!$D98),IF(ZmianaOdstępnego="stały %",G97*(1+Wyniki2!$E98),IF(ZmianaOdstępnego="stała kwota",G97+Wyniki2!$F98,)))))</f>
        <v>0</v>
      </c>
      <c r="H98" s="165">
        <f>IF(Tabela3[[#This Row],[Rok]]&gt;HoryzontInwestycyjny,0,MAX(0, MiesiąceNajmu - MAX(0, MAX(IFERROR(IF(MOD($C98, MałyRemont) = 0,Czas_MałyRemont, 0),0),IFERROR(IF(MOD($C98,DużyRemont) = 0,Czas_DużyRemont, 0),0)) - (12 -MiesiąceNajmu))))</f>
        <v>0</v>
      </c>
      <c r="I98" s="166">
        <f t="shared" si="3"/>
        <v>0</v>
      </c>
      <c r="J98" s="152" t="str">
        <f>IF(Tabela3[[#This Row],[Rok]]&gt;HoryzontInwestycyjny,"",IF(ZmianaKosztów="TAK",Inflacja,0))</f>
        <v/>
      </c>
      <c r="K98" s="155"/>
      <c r="L98" s="155"/>
      <c r="M98" s="155"/>
      <c r="N98" s="171" cm="1">
        <f t="array" ref="N98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98" s="171" cm="1">
        <f t="array" ref="O98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98" s="155" cm="1">
        <f t="array" ref="P98">IF(Tabela3[[#This Row],[Rok]]&gt;HoryzontInwestycyjny,0,IF(12-Tabela3[[#This Row],[Liczba wynajętych miesięcy w roku]]&gt;0, (12-Tabela3[[#This Row],[Liczba wynajętych miesięcy w roku]]) *CzynszWspólnoty* IF(ZmianaKosztów="Tak", PRODUCT(1+J$54:INDEX($J$54:J98, ROWS($D$54:D98)-1)), 1), 0))</f>
        <v>0</v>
      </c>
      <c r="Q98" s="170">
        <f>IF(Tabela3[[#This Row],[Rok]]&gt;HoryzontInwestycyjny,0,SUMIF(Kredyt!$E:$E,Tabela3[[#This Row],[Rok]],Kredyt!$I:$I))</f>
        <v>0</v>
      </c>
      <c r="R98" s="171">
        <f>IF(Tabela3[[#This Row],[Rok]]&gt;HoryzontInwestycyjny,0,SUMIF(Kredyt!$E:$E,Tabela3[[#This Row],[Rok]],Kredyt!$J:$J))</f>
        <v>0</v>
      </c>
      <c r="S98" s="155">
        <f>Tabela3[[#This Row],[Rata kredytu: odsetki]]+Tabela3[[#This Row],[Rata kredytu: kapitał]]</f>
        <v>0</v>
      </c>
      <c r="T98" s="169" cm="1">
        <f t="array" ref="T98">IF(Tabela3[[#This Row],[Rok]]&gt;HoryzontInwestycyjny,0,IFERROR(INDEX(Kredyt!$M:$M,11+Tabela3[[#This Row],[Rok]]*12) * UbezŻyć,""))</f>
        <v>0</v>
      </c>
      <c r="U98" s="155" cm="1">
        <f t="array" ref="U98">IF(Tabela3[[#This Row],[Rok]]&gt;HoryzontInwestycyjny,0,IF(CzasKredytu&gt;=Tabela3[[#This Row],[Rok]],IF(ZmianaKosztów="Tak",UbezMiesz* PRODUCT(1+J98:J98), UbezMiesz),""))</f>
        <v>0</v>
      </c>
      <c r="V98" s="155" cm="1">
        <f t="array" ref="V98">IF(Tabela3[[#This Row],[Rok]]&gt;HoryzontInwestycyjny,0,IF(ZmianaKosztów="Tak", PodatekOdNieruchomości * PRODUCT(1+J$54:J97), PodNie))</f>
        <v>0</v>
      </c>
      <c r="W98" s="155">
        <f>KosztyZarządzania*Tabela3[[#This Row],[Przychody z wynajmu]]</f>
        <v>0</v>
      </c>
      <c r="X98" s="155" cm="1">
        <f t="array" ref="X98">IF(Tabela3[[#This Row],[Rok]]&gt;HoryzontInwestycyjny,0,IF(ZmianaKosztów="Tak", InneKosztyRocznie* PRODUCT(1+J$55:J98), InneKosztyRocznie))</f>
        <v>0</v>
      </c>
      <c r="Y98" s="155">
        <f>SUM(Tabela3[[#This Row],[Cena mieszkania + remont początkowy]:[Inne koszty]])-Tabela3[[#This Row],[Rata kredytu]]</f>
        <v>0</v>
      </c>
      <c r="Z98" s="155">
        <f>IF(Tabela3[[#This Row],[Przychody z wynajmu]]&lt;=100000, Tabela3[[#This Row],[Przychody z wynajmu]]*MałyPodatek, 100000*MałyPodatek + (Tabela3[[#This Row],[Przychody z wynajmu]]-100000)*DużyPodatek)</f>
        <v>0</v>
      </c>
      <c r="AA98" s="155">
        <f>Tabela3[[#This Row],[Wydatki związane z najmem całkowite]]+Tabela3[[#This Row],[Podatek od przychodu]]</f>
        <v>0</v>
      </c>
      <c r="AB98" s="155">
        <f>IF(Tabela3[[#This Row],[Rok]]&gt;HoryzontInwestycyjny,0,Tabela3[[#This Row],[Przychody z wynajmu]]-Tabela3[[#This Row],[Wydatki związane z najmem całkowite]]-Tabela3[[#This Row],[Podatek od przychodu]])</f>
        <v>0</v>
      </c>
      <c r="AC98" s="155">
        <f>IF(Tabela3[[#This Row],[Rok]]&gt;HoryzontInwestycyjny,0,AC97+Tabela3[[#This Row],[Wynik z najmu netto rocznie]])</f>
        <v>0</v>
      </c>
      <c r="AD98" s="176" t="str">
        <f>IF(Tabela3[[#This Row],[Rok]]&gt;HoryzontInwestycyjny,"",IF(ZmianaWartościNieruchomości="Inflacyjnie",Inflacja,0))</f>
        <v/>
      </c>
      <c r="AE98" s="177" t="str">
        <f>IF(Tabela3[[#This Row],[Rok]]&gt;HoryzontInwestycyjny,"",StałyProcentZmianyWartościNieruchomości)</f>
        <v/>
      </c>
      <c r="AF98" s="178" t="str">
        <f>IF(Tabela3[[#This Row],[Rok]]&gt;HoryzontInwestycyjny,"",StałaKwotaZmianyWartościNieruchomości)</f>
        <v/>
      </c>
      <c r="AG98" s="155">
        <f>IF(Tabela3[[#This Row],[Rok]]&gt;HoryzontInwestycyjny,0,IF(ZmianaWartościNieruchomości="bez zmian",AG97,IF(ZmianaWartościNieruchomości="inflacyjnie",AG97*(1+Tabela3[[#This Row],[Inflacja3]]),IF(ZmianaWartościNieruchomości="stały %",AG97*(1+Tabela3[[#This Row],[Stały % zmiany warrtości]]),IF(ZmianaWartościNieruchomości="stała kwota",AG97+AF98,AG97)))))</f>
        <v>0</v>
      </c>
      <c r="AH98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98" s="177" cm="1">
        <f t="array" ref="AI98">Tabela3[[#This Row],[Wynik z najmu netto rocznie]]/IF(CzyKredyt="Tak",WydanaGotówka2,WydanaGotówka1)</f>
        <v>0</v>
      </c>
      <c r="AJ98" s="177" cm="1">
        <f t="array" ref="AJ98">Tabela3[[#This Row],[Wynik z najmu netto rocznie]]/IF(CzyKredyt="Tak",SumaKosztówPoczątkowychInwestycji,SumaKosztów)</f>
        <v>0</v>
      </c>
      <c r="AK98" s="155" cm="1">
        <f t="array" ref="AK98">IF(Tabela3[[#This Row],[Rok]]&gt;HoryzontInwestycyjny,0,-IF(CzyKredyt="Tak",WydanaGotówka2,WydanaGotówka1)+Tabela3[[#This Row],[Skumulowany wynik z najmu netto z najmu]])</f>
        <v>0</v>
      </c>
    </row>
    <row r="99" spans="3:37">
      <c r="C99" s="158">
        <v>46</v>
      </c>
      <c r="D99" s="152">
        <f t="shared" si="4"/>
        <v>0.02</v>
      </c>
      <c r="E99" s="152">
        <f t="shared" si="5"/>
        <v>0.04</v>
      </c>
      <c r="F99" s="167">
        <f t="shared" si="6"/>
        <v>150</v>
      </c>
      <c r="G99" s="151">
        <f>IF(Tabela3[[#This Row],[Rok]]&gt;HoryzontInwestycyjny,0,IF(ZmianaOdstępnego="bez zmian",G98,IF(ZmianaOdstępnego="inflacyjnie",G98*(1+Wyniki2!$D99),IF(ZmianaOdstępnego="stały %",G98*(1+Wyniki2!$E99),IF(ZmianaOdstępnego="stała kwota",G98+Wyniki2!$F99,)))))</f>
        <v>0</v>
      </c>
      <c r="H99" s="165">
        <f>IF(Tabela3[[#This Row],[Rok]]&gt;HoryzontInwestycyjny,0,MAX(0, MiesiąceNajmu - MAX(0, MAX(IFERROR(IF(MOD($C99, MałyRemont) = 0,Czas_MałyRemont, 0),0),IFERROR(IF(MOD($C99,DużyRemont) = 0,Czas_DużyRemont, 0),0)) - (12 -MiesiąceNajmu))))</f>
        <v>0</v>
      </c>
      <c r="I99" s="166">
        <f t="shared" si="3"/>
        <v>0</v>
      </c>
      <c r="J99" s="152" t="str">
        <f>IF(Tabela3[[#This Row],[Rok]]&gt;HoryzontInwestycyjny,"",IF(ZmianaKosztów="TAK",Inflacja,0))</f>
        <v/>
      </c>
      <c r="K99" s="155"/>
      <c r="L99" s="155"/>
      <c r="M99" s="155"/>
      <c r="N99" s="171" cm="1">
        <f t="array" ref="N99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99" s="171" cm="1">
        <f t="array" ref="O99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99" s="155" cm="1">
        <f t="array" ref="P99">IF(Tabela3[[#This Row],[Rok]]&gt;HoryzontInwestycyjny,0,IF(12-Tabela3[[#This Row],[Liczba wynajętych miesięcy w roku]]&gt;0, (12-Tabela3[[#This Row],[Liczba wynajętych miesięcy w roku]]) *CzynszWspólnoty* IF(ZmianaKosztów="Tak", PRODUCT(1+J$54:INDEX($J$54:J99, ROWS($D$54:D99)-1)), 1), 0))</f>
        <v>0</v>
      </c>
      <c r="Q99" s="170">
        <f>IF(Tabela3[[#This Row],[Rok]]&gt;HoryzontInwestycyjny,0,SUMIF(Kredyt!$E:$E,Tabela3[[#This Row],[Rok]],Kredyt!$I:$I))</f>
        <v>0</v>
      </c>
      <c r="R99" s="171">
        <f>IF(Tabela3[[#This Row],[Rok]]&gt;HoryzontInwestycyjny,0,SUMIF(Kredyt!$E:$E,Tabela3[[#This Row],[Rok]],Kredyt!$J:$J))</f>
        <v>0</v>
      </c>
      <c r="S99" s="155">
        <f>Tabela3[[#This Row],[Rata kredytu: odsetki]]+Tabela3[[#This Row],[Rata kredytu: kapitał]]</f>
        <v>0</v>
      </c>
      <c r="T99" s="169" cm="1">
        <f t="array" ref="T99">IF(Tabela3[[#This Row],[Rok]]&gt;HoryzontInwestycyjny,0,IFERROR(INDEX(Kredyt!$M:$M,11+Tabela3[[#This Row],[Rok]]*12) * UbezŻyć,""))</f>
        <v>0</v>
      </c>
      <c r="U99" s="155" cm="1">
        <f t="array" ref="U99">IF(Tabela3[[#This Row],[Rok]]&gt;HoryzontInwestycyjny,0,IF(CzasKredytu&gt;=Tabela3[[#This Row],[Rok]],IF(ZmianaKosztów="Tak",UbezMiesz* PRODUCT(1+J99:J99), UbezMiesz),""))</f>
        <v>0</v>
      </c>
      <c r="V99" s="155" cm="1">
        <f t="array" ref="V99">IF(Tabela3[[#This Row],[Rok]]&gt;HoryzontInwestycyjny,0,IF(ZmianaKosztów="Tak", PodatekOdNieruchomości * PRODUCT(1+J$54:J98), PodNie))</f>
        <v>0</v>
      </c>
      <c r="W99" s="155">
        <f>KosztyZarządzania*Tabela3[[#This Row],[Przychody z wynajmu]]</f>
        <v>0</v>
      </c>
      <c r="X99" s="155" cm="1">
        <f t="array" ref="X99">IF(Tabela3[[#This Row],[Rok]]&gt;HoryzontInwestycyjny,0,IF(ZmianaKosztów="Tak", InneKosztyRocznie* PRODUCT(1+J$55:J99), InneKosztyRocznie))</f>
        <v>0</v>
      </c>
      <c r="Y99" s="155">
        <f>SUM(Tabela3[[#This Row],[Cena mieszkania + remont początkowy]:[Inne koszty]])-Tabela3[[#This Row],[Rata kredytu]]</f>
        <v>0</v>
      </c>
      <c r="Z99" s="155">
        <f>IF(Tabela3[[#This Row],[Przychody z wynajmu]]&lt;=100000, Tabela3[[#This Row],[Przychody z wynajmu]]*MałyPodatek, 100000*MałyPodatek + (Tabela3[[#This Row],[Przychody z wynajmu]]-100000)*DużyPodatek)</f>
        <v>0</v>
      </c>
      <c r="AA99" s="155">
        <f>Tabela3[[#This Row],[Wydatki związane z najmem całkowite]]+Tabela3[[#This Row],[Podatek od przychodu]]</f>
        <v>0</v>
      </c>
      <c r="AB99" s="155">
        <f>IF(Tabela3[[#This Row],[Rok]]&gt;HoryzontInwestycyjny,0,Tabela3[[#This Row],[Przychody z wynajmu]]-Tabela3[[#This Row],[Wydatki związane z najmem całkowite]]-Tabela3[[#This Row],[Podatek od przychodu]])</f>
        <v>0</v>
      </c>
      <c r="AC99" s="155">
        <f>IF(Tabela3[[#This Row],[Rok]]&gt;HoryzontInwestycyjny,0,AC98+Tabela3[[#This Row],[Wynik z najmu netto rocznie]])</f>
        <v>0</v>
      </c>
      <c r="AD99" s="176" t="str">
        <f>IF(Tabela3[[#This Row],[Rok]]&gt;HoryzontInwestycyjny,"",IF(ZmianaWartościNieruchomości="Inflacyjnie",Inflacja,0))</f>
        <v/>
      </c>
      <c r="AE99" s="177" t="str">
        <f>IF(Tabela3[[#This Row],[Rok]]&gt;HoryzontInwestycyjny,"",StałyProcentZmianyWartościNieruchomości)</f>
        <v/>
      </c>
      <c r="AF99" s="178" t="str">
        <f>IF(Tabela3[[#This Row],[Rok]]&gt;HoryzontInwestycyjny,"",StałaKwotaZmianyWartościNieruchomości)</f>
        <v/>
      </c>
      <c r="AG99" s="155">
        <f>IF(Tabela3[[#This Row],[Rok]]&gt;HoryzontInwestycyjny,0,IF(ZmianaWartościNieruchomości="bez zmian",AG98,IF(ZmianaWartościNieruchomości="inflacyjnie",AG98*(1+Tabela3[[#This Row],[Inflacja3]]),IF(ZmianaWartościNieruchomości="stały %",AG98*(1+Tabela3[[#This Row],[Stały % zmiany warrtości]]),IF(ZmianaWartościNieruchomości="stała kwota",AG98+AF99,AG98)))))</f>
        <v>0</v>
      </c>
      <c r="AH99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99" s="177" cm="1">
        <f t="array" ref="AI99">Tabela3[[#This Row],[Wynik z najmu netto rocznie]]/IF(CzyKredyt="Tak",WydanaGotówka2,WydanaGotówka1)</f>
        <v>0</v>
      </c>
      <c r="AJ99" s="177" cm="1">
        <f t="array" ref="AJ99">Tabela3[[#This Row],[Wynik z najmu netto rocznie]]/IF(CzyKredyt="Tak",SumaKosztówPoczątkowychInwestycji,SumaKosztów)</f>
        <v>0</v>
      </c>
      <c r="AK99" s="155" cm="1">
        <f t="array" ref="AK99">IF(Tabela3[[#This Row],[Rok]]&gt;HoryzontInwestycyjny,0,-IF(CzyKredyt="Tak",WydanaGotówka2,WydanaGotówka1)+Tabela3[[#This Row],[Skumulowany wynik z najmu netto z najmu]])</f>
        <v>0</v>
      </c>
    </row>
    <row r="100" spans="3:37">
      <c r="C100" s="158">
        <v>47</v>
      </c>
      <c r="D100" s="152">
        <f t="shared" si="4"/>
        <v>0.02</v>
      </c>
      <c r="E100" s="152">
        <f t="shared" si="5"/>
        <v>0.04</v>
      </c>
      <c r="F100" s="167">
        <f t="shared" si="6"/>
        <v>150</v>
      </c>
      <c r="G100" s="151">
        <f>IF(Tabela3[[#This Row],[Rok]]&gt;HoryzontInwestycyjny,0,IF(ZmianaOdstępnego="bez zmian",G99,IF(ZmianaOdstępnego="inflacyjnie",G99*(1+Wyniki2!$D100),IF(ZmianaOdstępnego="stały %",G99*(1+Wyniki2!$E100),IF(ZmianaOdstępnego="stała kwota",G99+Wyniki2!$F100,)))))</f>
        <v>0</v>
      </c>
      <c r="H100" s="165">
        <f>IF(Tabela3[[#This Row],[Rok]]&gt;HoryzontInwestycyjny,0,MAX(0, MiesiąceNajmu - MAX(0, MAX(IFERROR(IF(MOD($C100, MałyRemont) = 0,Czas_MałyRemont, 0),0),IFERROR(IF(MOD($C100,DużyRemont) = 0,Czas_DużyRemont, 0),0)) - (12 -MiesiąceNajmu))))</f>
        <v>0</v>
      </c>
      <c r="I100" s="166">
        <f t="shared" si="3"/>
        <v>0</v>
      </c>
      <c r="J100" s="152" t="str">
        <f>IF(Tabela3[[#This Row],[Rok]]&gt;HoryzontInwestycyjny,"",IF(ZmianaKosztów="TAK",Inflacja,0))</f>
        <v/>
      </c>
      <c r="K100" s="155"/>
      <c r="L100" s="155"/>
      <c r="M100" s="155"/>
      <c r="N100" s="171" cm="1">
        <f t="array" ref="N100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00" s="171" cm="1">
        <f t="array" ref="O100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00" s="155" cm="1">
        <f t="array" ref="P100">IF(Tabela3[[#This Row],[Rok]]&gt;HoryzontInwestycyjny,0,IF(12-Tabela3[[#This Row],[Liczba wynajętych miesięcy w roku]]&gt;0, (12-Tabela3[[#This Row],[Liczba wynajętych miesięcy w roku]]) *CzynszWspólnoty* IF(ZmianaKosztów="Tak", PRODUCT(1+J$54:INDEX($J$54:J100, ROWS($D$54:D100)-1)), 1), 0))</f>
        <v>0</v>
      </c>
      <c r="Q100" s="170">
        <f>IF(Tabela3[[#This Row],[Rok]]&gt;HoryzontInwestycyjny,0,SUMIF(Kredyt!$E:$E,Tabela3[[#This Row],[Rok]],Kredyt!$I:$I))</f>
        <v>0</v>
      </c>
      <c r="R100" s="171">
        <f>IF(Tabela3[[#This Row],[Rok]]&gt;HoryzontInwestycyjny,0,SUMIF(Kredyt!$E:$E,Tabela3[[#This Row],[Rok]],Kredyt!$J:$J))</f>
        <v>0</v>
      </c>
      <c r="S100" s="155">
        <f>Tabela3[[#This Row],[Rata kredytu: odsetki]]+Tabela3[[#This Row],[Rata kredytu: kapitał]]</f>
        <v>0</v>
      </c>
      <c r="T100" s="169" cm="1">
        <f t="array" ref="T100">IF(Tabela3[[#This Row],[Rok]]&gt;HoryzontInwestycyjny,0,IFERROR(INDEX(Kredyt!$M:$M,11+Tabela3[[#This Row],[Rok]]*12) * UbezŻyć,""))</f>
        <v>0</v>
      </c>
      <c r="U100" s="155" cm="1">
        <f t="array" ref="U100">IF(Tabela3[[#This Row],[Rok]]&gt;HoryzontInwestycyjny,0,IF(CzasKredytu&gt;=Tabela3[[#This Row],[Rok]],IF(ZmianaKosztów="Tak",UbezMiesz* PRODUCT(1+J100:J100), UbezMiesz),""))</f>
        <v>0</v>
      </c>
      <c r="V100" s="155" cm="1">
        <f t="array" ref="V100">IF(Tabela3[[#This Row],[Rok]]&gt;HoryzontInwestycyjny,0,IF(ZmianaKosztów="Tak", PodatekOdNieruchomości * PRODUCT(1+J$54:J99), PodNie))</f>
        <v>0</v>
      </c>
      <c r="W100" s="155">
        <f>KosztyZarządzania*Tabela3[[#This Row],[Przychody z wynajmu]]</f>
        <v>0</v>
      </c>
      <c r="X100" s="155" cm="1">
        <f t="array" ref="X100">IF(Tabela3[[#This Row],[Rok]]&gt;HoryzontInwestycyjny,0,IF(ZmianaKosztów="Tak", InneKosztyRocznie* PRODUCT(1+J$55:J100), InneKosztyRocznie))</f>
        <v>0</v>
      </c>
      <c r="Y100" s="155">
        <f>SUM(Tabela3[[#This Row],[Cena mieszkania + remont początkowy]:[Inne koszty]])-Tabela3[[#This Row],[Rata kredytu]]</f>
        <v>0</v>
      </c>
      <c r="Z100" s="155">
        <f>IF(Tabela3[[#This Row],[Przychody z wynajmu]]&lt;=100000, Tabela3[[#This Row],[Przychody z wynajmu]]*MałyPodatek, 100000*MałyPodatek + (Tabela3[[#This Row],[Przychody z wynajmu]]-100000)*DużyPodatek)</f>
        <v>0</v>
      </c>
      <c r="AA100" s="155">
        <f>Tabela3[[#This Row],[Wydatki związane z najmem całkowite]]+Tabela3[[#This Row],[Podatek od przychodu]]</f>
        <v>0</v>
      </c>
      <c r="AB100" s="155">
        <f>IF(Tabela3[[#This Row],[Rok]]&gt;HoryzontInwestycyjny,0,Tabela3[[#This Row],[Przychody z wynajmu]]-Tabela3[[#This Row],[Wydatki związane z najmem całkowite]]-Tabela3[[#This Row],[Podatek od przychodu]])</f>
        <v>0</v>
      </c>
      <c r="AC100" s="155">
        <f>IF(Tabela3[[#This Row],[Rok]]&gt;HoryzontInwestycyjny,0,AC99+Tabela3[[#This Row],[Wynik z najmu netto rocznie]])</f>
        <v>0</v>
      </c>
      <c r="AD100" s="176" t="str">
        <f>IF(Tabela3[[#This Row],[Rok]]&gt;HoryzontInwestycyjny,"",IF(ZmianaWartościNieruchomości="Inflacyjnie",Inflacja,0))</f>
        <v/>
      </c>
      <c r="AE100" s="177" t="str">
        <f>IF(Tabela3[[#This Row],[Rok]]&gt;HoryzontInwestycyjny,"",StałyProcentZmianyWartościNieruchomości)</f>
        <v/>
      </c>
      <c r="AF100" s="178" t="str">
        <f>IF(Tabela3[[#This Row],[Rok]]&gt;HoryzontInwestycyjny,"",StałaKwotaZmianyWartościNieruchomości)</f>
        <v/>
      </c>
      <c r="AG100" s="155">
        <f>IF(Tabela3[[#This Row],[Rok]]&gt;HoryzontInwestycyjny,0,IF(ZmianaWartościNieruchomości="bez zmian",AG99,IF(ZmianaWartościNieruchomości="inflacyjnie",AG99*(1+Tabela3[[#This Row],[Inflacja3]]),IF(ZmianaWartościNieruchomości="stały %",AG99*(1+Tabela3[[#This Row],[Stały % zmiany warrtości]]),IF(ZmianaWartościNieruchomości="stała kwota",AG99+AF100,AG99)))))</f>
        <v>0</v>
      </c>
      <c r="AH100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00" s="177" cm="1">
        <f t="array" ref="AI100">Tabela3[[#This Row],[Wynik z najmu netto rocznie]]/IF(CzyKredyt="Tak",WydanaGotówka2,WydanaGotówka1)</f>
        <v>0</v>
      </c>
      <c r="AJ100" s="177" cm="1">
        <f t="array" ref="AJ100">Tabela3[[#This Row],[Wynik z najmu netto rocznie]]/IF(CzyKredyt="Tak",SumaKosztówPoczątkowychInwestycji,SumaKosztów)</f>
        <v>0</v>
      </c>
      <c r="AK100" s="155" cm="1">
        <f t="array" ref="AK100">IF(Tabela3[[#This Row],[Rok]]&gt;HoryzontInwestycyjny,0,-IF(CzyKredyt="Tak",WydanaGotówka2,WydanaGotówka1)+Tabela3[[#This Row],[Skumulowany wynik z najmu netto z najmu]])</f>
        <v>0</v>
      </c>
    </row>
    <row r="101" spans="3:37">
      <c r="C101" s="158">
        <v>48</v>
      </c>
      <c r="D101" s="152">
        <f t="shared" si="4"/>
        <v>0.02</v>
      </c>
      <c r="E101" s="152">
        <f t="shared" si="5"/>
        <v>0.04</v>
      </c>
      <c r="F101" s="167">
        <f t="shared" si="6"/>
        <v>150</v>
      </c>
      <c r="G101" s="151">
        <f>IF(Tabela3[[#This Row],[Rok]]&gt;HoryzontInwestycyjny,0,IF(ZmianaOdstępnego="bez zmian",G100,IF(ZmianaOdstępnego="inflacyjnie",G100*(1+Wyniki2!$D101),IF(ZmianaOdstępnego="stały %",G100*(1+Wyniki2!$E101),IF(ZmianaOdstępnego="stała kwota",G100+Wyniki2!$F101,)))))</f>
        <v>0</v>
      </c>
      <c r="H101" s="165">
        <f>IF(Tabela3[[#This Row],[Rok]]&gt;HoryzontInwestycyjny,0,MAX(0, MiesiąceNajmu - MAX(0, MAX(IFERROR(IF(MOD($C101, MałyRemont) = 0,Czas_MałyRemont, 0),0),IFERROR(IF(MOD($C101,DużyRemont) = 0,Czas_DużyRemont, 0),0)) - (12 -MiesiąceNajmu))))</f>
        <v>0</v>
      </c>
      <c r="I101" s="166">
        <f t="shared" si="3"/>
        <v>0</v>
      </c>
      <c r="J101" s="152" t="str">
        <f>IF(Tabela3[[#This Row],[Rok]]&gt;HoryzontInwestycyjny,"",IF(ZmianaKosztów="TAK",Inflacja,0))</f>
        <v/>
      </c>
      <c r="K101" s="155"/>
      <c r="L101" s="155"/>
      <c r="M101" s="155"/>
      <c r="N101" s="171" cm="1">
        <f t="array" ref="N101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01" s="171" cm="1">
        <f t="array" ref="O101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01" s="155" cm="1">
        <f t="array" ref="P101">IF(Tabela3[[#This Row],[Rok]]&gt;HoryzontInwestycyjny,0,IF(12-Tabela3[[#This Row],[Liczba wynajętych miesięcy w roku]]&gt;0, (12-Tabela3[[#This Row],[Liczba wynajętych miesięcy w roku]]) *CzynszWspólnoty* IF(ZmianaKosztów="Tak", PRODUCT(1+J$54:INDEX($J$54:J101, ROWS($D$54:D101)-1)), 1), 0))</f>
        <v>0</v>
      </c>
      <c r="Q101" s="170">
        <f>IF(Tabela3[[#This Row],[Rok]]&gt;HoryzontInwestycyjny,0,SUMIF(Kredyt!$E:$E,Tabela3[[#This Row],[Rok]],Kredyt!$I:$I))</f>
        <v>0</v>
      </c>
      <c r="R101" s="171">
        <f>IF(Tabela3[[#This Row],[Rok]]&gt;HoryzontInwestycyjny,0,SUMIF(Kredyt!$E:$E,Tabela3[[#This Row],[Rok]],Kredyt!$J:$J))</f>
        <v>0</v>
      </c>
      <c r="S101" s="155">
        <f>Tabela3[[#This Row],[Rata kredytu: odsetki]]+Tabela3[[#This Row],[Rata kredytu: kapitał]]</f>
        <v>0</v>
      </c>
      <c r="T101" s="169" cm="1">
        <f t="array" ref="T101">IF(Tabela3[[#This Row],[Rok]]&gt;HoryzontInwestycyjny,0,IFERROR(INDEX(Kredyt!$M:$M,11+Tabela3[[#This Row],[Rok]]*12) * UbezŻyć,""))</f>
        <v>0</v>
      </c>
      <c r="U101" s="155" cm="1">
        <f t="array" ref="U101">IF(Tabela3[[#This Row],[Rok]]&gt;HoryzontInwestycyjny,0,IF(CzasKredytu&gt;=Tabela3[[#This Row],[Rok]],IF(ZmianaKosztów="Tak",UbezMiesz* PRODUCT(1+J101:J101), UbezMiesz),""))</f>
        <v>0</v>
      </c>
      <c r="V101" s="155" cm="1">
        <f t="array" ref="V101">IF(Tabela3[[#This Row],[Rok]]&gt;HoryzontInwestycyjny,0,IF(ZmianaKosztów="Tak", PodatekOdNieruchomości * PRODUCT(1+J$54:J100), PodNie))</f>
        <v>0</v>
      </c>
      <c r="W101" s="155">
        <f>KosztyZarządzania*Tabela3[[#This Row],[Przychody z wynajmu]]</f>
        <v>0</v>
      </c>
      <c r="X101" s="155" cm="1">
        <f t="array" ref="X101">IF(Tabela3[[#This Row],[Rok]]&gt;HoryzontInwestycyjny,0,IF(ZmianaKosztów="Tak", InneKosztyRocznie* PRODUCT(1+J$55:J101), InneKosztyRocznie))</f>
        <v>0</v>
      </c>
      <c r="Y101" s="155">
        <f>SUM(Tabela3[[#This Row],[Cena mieszkania + remont początkowy]:[Inne koszty]])-Tabela3[[#This Row],[Rata kredytu]]</f>
        <v>0</v>
      </c>
      <c r="Z101" s="155">
        <f>IF(Tabela3[[#This Row],[Przychody z wynajmu]]&lt;=100000, Tabela3[[#This Row],[Przychody z wynajmu]]*MałyPodatek, 100000*MałyPodatek + (Tabela3[[#This Row],[Przychody z wynajmu]]-100000)*DużyPodatek)</f>
        <v>0</v>
      </c>
      <c r="AA101" s="155">
        <f>Tabela3[[#This Row],[Wydatki związane z najmem całkowite]]+Tabela3[[#This Row],[Podatek od przychodu]]</f>
        <v>0</v>
      </c>
      <c r="AB101" s="155">
        <f>IF(Tabela3[[#This Row],[Rok]]&gt;HoryzontInwestycyjny,0,Tabela3[[#This Row],[Przychody z wynajmu]]-Tabela3[[#This Row],[Wydatki związane z najmem całkowite]]-Tabela3[[#This Row],[Podatek od przychodu]])</f>
        <v>0</v>
      </c>
      <c r="AC101" s="155">
        <f>IF(Tabela3[[#This Row],[Rok]]&gt;HoryzontInwestycyjny,0,AC100+Tabela3[[#This Row],[Wynik z najmu netto rocznie]])</f>
        <v>0</v>
      </c>
      <c r="AD101" s="176" t="str">
        <f>IF(Tabela3[[#This Row],[Rok]]&gt;HoryzontInwestycyjny,"",IF(ZmianaWartościNieruchomości="Inflacyjnie",Inflacja,0))</f>
        <v/>
      </c>
      <c r="AE101" s="177" t="str">
        <f>IF(Tabela3[[#This Row],[Rok]]&gt;HoryzontInwestycyjny,"",StałyProcentZmianyWartościNieruchomości)</f>
        <v/>
      </c>
      <c r="AF101" s="178" t="str">
        <f>IF(Tabela3[[#This Row],[Rok]]&gt;HoryzontInwestycyjny,"",StałaKwotaZmianyWartościNieruchomości)</f>
        <v/>
      </c>
      <c r="AG101" s="155">
        <f>IF(Tabela3[[#This Row],[Rok]]&gt;HoryzontInwestycyjny,0,IF(ZmianaWartościNieruchomości="bez zmian",AG100,IF(ZmianaWartościNieruchomości="inflacyjnie",AG100*(1+Tabela3[[#This Row],[Inflacja3]]),IF(ZmianaWartościNieruchomości="stały %",AG100*(1+Tabela3[[#This Row],[Stały % zmiany warrtości]]),IF(ZmianaWartościNieruchomości="stała kwota",AG100+AF101,AG100)))))</f>
        <v>0</v>
      </c>
      <c r="AH101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01" s="177" cm="1">
        <f t="array" ref="AI101">Tabela3[[#This Row],[Wynik z najmu netto rocznie]]/IF(CzyKredyt="Tak",WydanaGotówka2,WydanaGotówka1)</f>
        <v>0</v>
      </c>
      <c r="AJ101" s="177" cm="1">
        <f t="array" ref="AJ101">Tabela3[[#This Row],[Wynik z najmu netto rocznie]]/IF(CzyKredyt="Tak",SumaKosztówPoczątkowychInwestycji,SumaKosztów)</f>
        <v>0</v>
      </c>
      <c r="AK101" s="155" cm="1">
        <f t="array" ref="AK101">IF(Tabela3[[#This Row],[Rok]]&gt;HoryzontInwestycyjny,0,-IF(CzyKredyt="Tak",WydanaGotówka2,WydanaGotówka1)+Tabela3[[#This Row],[Skumulowany wynik z najmu netto z najmu]])</f>
        <v>0</v>
      </c>
    </row>
    <row r="102" spans="3:37">
      <c r="C102" s="158">
        <v>49</v>
      </c>
      <c r="D102" s="152">
        <f t="shared" si="4"/>
        <v>0.02</v>
      </c>
      <c r="E102" s="152">
        <f t="shared" si="5"/>
        <v>0.04</v>
      </c>
      <c r="F102" s="167">
        <f t="shared" si="6"/>
        <v>150</v>
      </c>
      <c r="G102" s="151">
        <f>IF(Tabela3[[#This Row],[Rok]]&gt;HoryzontInwestycyjny,0,IF(ZmianaOdstępnego="bez zmian",G101,IF(ZmianaOdstępnego="inflacyjnie",G101*(1+Wyniki2!$D102),IF(ZmianaOdstępnego="stały %",G101*(1+Wyniki2!$E102),IF(ZmianaOdstępnego="stała kwota",G101+Wyniki2!$F102,)))))</f>
        <v>0</v>
      </c>
      <c r="H102" s="165">
        <f>IF(Tabela3[[#This Row],[Rok]]&gt;HoryzontInwestycyjny,0,MAX(0, MiesiąceNajmu - MAX(0, MAX(IFERROR(IF(MOD($C102, MałyRemont) = 0,Czas_MałyRemont, 0),0),IFERROR(IF(MOD($C102,DużyRemont) = 0,Czas_DużyRemont, 0),0)) - (12 -MiesiąceNajmu))))</f>
        <v>0</v>
      </c>
      <c r="I102" s="166">
        <f t="shared" si="3"/>
        <v>0</v>
      </c>
      <c r="J102" s="152" t="str">
        <f>IF(Tabela3[[#This Row],[Rok]]&gt;HoryzontInwestycyjny,"",IF(ZmianaKosztów="TAK",Inflacja,0))</f>
        <v/>
      </c>
      <c r="K102" s="155"/>
      <c r="L102" s="155"/>
      <c r="M102" s="155"/>
      <c r="N102" s="171" cm="1">
        <f t="array" ref="N102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02" s="171" cm="1">
        <f t="array" ref="O102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02" s="155" cm="1">
        <f t="array" ref="P102">IF(Tabela3[[#This Row],[Rok]]&gt;HoryzontInwestycyjny,0,IF(12-Tabela3[[#This Row],[Liczba wynajętych miesięcy w roku]]&gt;0, (12-Tabela3[[#This Row],[Liczba wynajętych miesięcy w roku]]) *CzynszWspólnoty* IF(ZmianaKosztów="Tak", PRODUCT(1+J$54:INDEX($J$54:J102, ROWS($D$54:D102)-1)), 1), 0))</f>
        <v>0</v>
      </c>
      <c r="Q102" s="170">
        <f>IF(Tabela3[[#This Row],[Rok]]&gt;HoryzontInwestycyjny,0,SUMIF(Kredyt!$E:$E,Tabela3[[#This Row],[Rok]],Kredyt!$I:$I))</f>
        <v>0</v>
      </c>
      <c r="R102" s="171">
        <f>IF(Tabela3[[#This Row],[Rok]]&gt;HoryzontInwestycyjny,0,SUMIF(Kredyt!$E:$E,Tabela3[[#This Row],[Rok]],Kredyt!$J:$J))</f>
        <v>0</v>
      </c>
      <c r="S102" s="155">
        <f>Tabela3[[#This Row],[Rata kredytu: odsetki]]+Tabela3[[#This Row],[Rata kredytu: kapitał]]</f>
        <v>0</v>
      </c>
      <c r="T102" s="169" cm="1">
        <f t="array" ref="T102">IF(Tabela3[[#This Row],[Rok]]&gt;HoryzontInwestycyjny,0,IFERROR(INDEX(Kredyt!$M:$M,11+Tabela3[[#This Row],[Rok]]*12) * UbezŻyć,""))</f>
        <v>0</v>
      </c>
      <c r="U102" s="155" cm="1">
        <f t="array" ref="U102">IF(Tabela3[[#This Row],[Rok]]&gt;HoryzontInwestycyjny,0,IF(CzasKredytu&gt;=Tabela3[[#This Row],[Rok]],IF(ZmianaKosztów="Tak",UbezMiesz* PRODUCT(1+J102:J102), UbezMiesz),""))</f>
        <v>0</v>
      </c>
      <c r="V102" s="155" cm="1">
        <f t="array" ref="V102">IF(Tabela3[[#This Row],[Rok]]&gt;HoryzontInwestycyjny,0,IF(ZmianaKosztów="Tak", PodatekOdNieruchomości * PRODUCT(1+J$54:J101), PodNie))</f>
        <v>0</v>
      </c>
      <c r="W102" s="155">
        <f>KosztyZarządzania*Tabela3[[#This Row],[Przychody z wynajmu]]</f>
        <v>0</v>
      </c>
      <c r="X102" s="155" cm="1">
        <f t="array" ref="X102">IF(Tabela3[[#This Row],[Rok]]&gt;HoryzontInwestycyjny,0,IF(ZmianaKosztów="Tak", InneKosztyRocznie* PRODUCT(1+J$55:J102), InneKosztyRocznie))</f>
        <v>0</v>
      </c>
      <c r="Y102" s="155">
        <f>SUM(Tabela3[[#This Row],[Cena mieszkania + remont początkowy]:[Inne koszty]])-Tabela3[[#This Row],[Rata kredytu]]</f>
        <v>0</v>
      </c>
      <c r="Z102" s="155">
        <f>IF(Tabela3[[#This Row],[Przychody z wynajmu]]&lt;=100000, Tabela3[[#This Row],[Przychody z wynajmu]]*MałyPodatek, 100000*MałyPodatek + (Tabela3[[#This Row],[Przychody z wynajmu]]-100000)*DużyPodatek)</f>
        <v>0</v>
      </c>
      <c r="AA102" s="155">
        <f>Tabela3[[#This Row],[Wydatki związane z najmem całkowite]]+Tabela3[[#This Row],[Podatek od przychodu]]</f>
        <v>0</v>
      </c>
      <c r="AB102" s="155">
        <f>IF(Tabela3[[#This Row],[Rok]]&gt;HoryzontInwestycyjny,0,Tabela3[[#This Row],[Przychody z wynajmu]]-Tabela3[[#This Row],[Wydatki związane z najmem całkowite]]-Tabela3[[#This Row],[Podatek od przychodu]])</f>
        <v>0</v>
      </c>
      <c r="AC102" s="155">
        <f>IF(Tabela3[[#This Row],[Rok]]&gt;HoryzontInwestycyjny,0,AC101+Tabela3[[#This Row],[Wynik z najmu netto rocznie]])</f>
        <v>0</v>
      </c>
      <c r="AD102" s="176" t="str">
        <f>IF(Tabela3[[#This Row],[Rok]]&gt;HoryzontInwestycyjny,"",IF(ZmianaWartościNieruchomości="Inflacyjnie",Inflacja,0))</f>
        <v/>
      </c>
      <c r="AE102" s="177" t="str">
        <f>IF(Tabela3[[#This Row],[Rok]]&gt;HoryzontInwestycyjny,"",StałyProcentZmianyWartościNieruchomości)</f>
        <v/>
      </c>
      <c r="AF102" s="178" t="str">
        <f>IF(Tabela3[[#This Row],[Rok]]&gt;HoryzontInwestycyjny,"",StałaKwotaZmianyWartościNieruchomości)</f>
        <v/>
      </c>
      <c r="AG102" s="155">
        <f>IF(Tabela3[[#This Row],[Rok]]&gt;HoryzontInwestycyjny,0,IF(ZmianaWartościNieruchomości="bez zmian",AG101,IF(ZmianaWartościNieruchomości="inflacyjnie",AG101*(1+Tabela3[[#This Row],[Inflacja3]]),IF(ZmianaWartościNieruchomości="stały %",AG101*(1+Tabela3[[#This Row],[Stały % zmiany warrtości]]),IF(ZmianaWartościNieruchomości="stała kwota",AG101+AF102,AG101)))))</f>
        <v>0</v>
      </c>
      <c r="AH102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02" s="177" cm="1">
        <f t="array" ref="AI102">Tabela3[[#This Row],[Wynik z najmu netto rocznie]]/IF(CzyKredyt="Tak",WydanaGotówka2,WydanaGotówka1)</f>
        <v>0</v>
      </c>
      <c r="AJ102" s="177" cm="1">
        <f t="array" ref="AJ102">Tabela3[[#This Row],[Wynik z najmu netto rocznie]]/IF(CzyKredyt="Tak",SumaKosztówPoczątkowychInwestycji,SumaKosztów)</f>
        <v>0</v>
      </c>
      <c r="AK102" s="155" cm="1">
        <f t="array" ref="AK102">IF(Tabela3[[#This Row],[Rok]]&gt;HoryzontInwestycyjny,0,-IF(CzyKredyt="Tak",WydanaGotówka2,WydanaGotówka1)+Tabela3[[#This Row],[Skumulowany wynik z najmu netto z najmu]])</f>
        <v>0</v>
      </c>
    </row>
    <row r="103" spans="3:37">
      <c r="C103" s="168">
        <v>50</v>
      </c>
      <c r="D103" s="152">
        <f t="shared" si="4"/>
        <v>0.02</v>
      </c>
      <c r="E103" s="152">
        <f t="shared" si="5"/>
        <v>0.04</v>
      </c>
      <c r="F103" s="167">
        <f t="shared" si="6"/>
        <v>150</v>
      </c>
      <c r="G103" s="151">
        <f>IF(Tabela3[[#This Row],[Rok]]&gt;HoryzontInwestycyjny,0,IF(ZmianaOdstępnego="bez zmian",G102,IF(ZmianaOdstępnego="inflacyjnie",G102*(1+Wyniki2!$D103),IF(ZmianaOdstępnego="stały %",G102*(1+Wyniki2!$E103),IF(ZmianaOdstępnego="stała kwota",G102+Wyniki2!$F103,)))))</f>
        <v>0</v>
      </c>
      <c r="H103" s="165">
        <f>IF(Tabela3[[#This Row],[Rok]]&gt;HoryzontInwestycyjny,0,MAX(0, MiesiąceNajmu - MAX(0, MAX(IFERROR(IF(MOD($C103, MałyRemont) = 0,Czas_MałyRemont, 0),0),IFERROR(IF(MOD($C103,DużyRemont) = 0,Czas_DużyRemont, 0),0)) - (12 -MiesiąceNajmu))))</f>
        <v>0</v>
      </c>
      <c r="I103" s="166">
        <f t="shared" si="3"/>
        <v>0</v>
      </c>
      <c r="J103" s="152" t="str">
        <f>IF(Tabela3[[#This Row],[Rok]]&gt;HoryzontInwestycyjny,"",IF(ZmianaKosztów="TAK",Inflacja,0))</f>
        <v/>
      </c>
      <c r="K103" s="172"/>
      <c r="L103" s="172"/>
      <c r="M103" s="172"/>
      <c r="N103" s="171" cm="1">
        <f t="array" ref="N103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03" s="171" cm="1">
        <f t="array" ref="O103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03" s="155" cm="1">
        <f t="array" ref="P103">IF(Tabela3[[#This Row],[Rok]]&gt;HoryzontInwestycyjny,0,IF(12-Tabela3[[#This Row],[Liczba wynajętych miesięcy w roku]]&gt;0, (12-Tabela3[[#This Row],[Liczba wynajętych miesięcy w roku]]) *CzynszWspólnoty* IF(ZmianaKosztów="Tak", PRODUCT(1+J$54:INDEX($J$54:J103, ROWS($D$54:D103)-1)), 1), 0))</f>
        <v>0</v>
      </c>
      <c r="Q103" s="170">
        <f>IF(Tabela3[[#This Row],[Rok]]&gt;HoryzontInwestycyjny,0,SUMIF(Kredyt!$E:$E,Tabela3[[#This Row],[Rok]],Kredyt!$I:$I))</f>
        <v>0</v>
      </c>
      <c r="R103" s="171">
        <f>IF(Tabela3[[#This Row],[Rok]]&gt;HoryzontInwestycyjny,0,SUMIF(Kredyt!$E:$E,Tabela3[[#This Row],[Rok]],Kredyt!$J:$J))</f>
        <v>0</v>
      </c>
      <c r="S103" s="172">
        <f>Tabela3[[#This Row],[Rata kredytu: odsetki]]+Tabela3[[#This Row],[Rata kredytu: kapitał]]</f>
        <v>0</v>
      </c>
      <c r="T103" s="169" cm="1">
        <f t="array" ref="T103">IF(Tabela3[[#This Row],[Rok]]&gt;HoryzontInwestycyjny,0,IFERROR(INDEX(Kredyt!$M:$M,11+Tabela3[[#This Row],[Rok]]*12) * UbezŻyć,""))</f>
        <v>0</v>
      </c>
      <c r="U103" s="155" cm="1">
        <f t="array" ref="U103">IF(Tabela3[[#This Row],[Rok]]&gt;HoryzontInwestycyjny,0,IF(CzasKredytu&gt;=Tabela3[[#This Row],[Rok]],IF(ZmianaKosztów="Tak",UbezMiesz* PRODUCT(1+J103:J103), UbezMiesz),""))</f>
        <v>0</v>
      </c>
      <c r="V103" s="155" cm="1">
        <f t="array" ref="V103">IF(Tabela3[[#This Row],[Rok]]&gt;HoryzontInwestycyjny,0,IF(ZmianaKosztów="Tak", PodatekOdNieruchomości * PRODUCT(1+J$54:J102), PodNie))</f>
        <v>0</v>
      </c>
      <c r="W103" s="155">
        <f>KosztyZarządzania*Tabela3[[#This Row],[Przychody z wynajmu]]</f>
        <v>0</v>
      </c>
      <c r="X103" s="155" cm="1">
        <f t="array" ref="X103">IF(Tabela3[[#This Row],[Rok]]&gt;HoryzontInwestycyjny,0,IF(ZmianaKosztów="Tak", InneKosztyRocznie* PRODUCT(1+J$55:J103), InneKosztyRocznie))</f>
        <v>0</v>
      </c>
      <c r="Y103" s="155">
        <f>SUM(Tabela3[[#This Row],[Cena mieszkania + remont początkowy]:[Inne koszty]])-Tabela3[[#This Row],[Rata kredytu]]</f>
        <v>0</v>
      </c>
      <c r="Z103" s="155">
        <f>IF(Tabela3[[#This Row],[Przychody z wynajmu]]&lt;=100000, Tabela3[[#This Row],[Przychody z wynajmu]]*MałyPodatek, 100000*MałyPodatek + (Tabela3[[#This Row],[Przychody z wynajmu]]-100000)*DużyPodatek)</f>
        <v>0</v>
      </c>
      <c r="AA103" s="155">
        <f>Tabela3[[#This Row],[Wydatki związane z najmem całkowite]]+Tabela3[[#This Row],[Podatek od przychodu]]</f>
        <v>0</v>
      </c>
      <c r="AB103" s="155">
        <f>IF(Tabela3[[#This Row],[Rok]]&gt;HoryzontInwestycyjny,0,Tabela3[[#This Row],[Przychody z wynajmu]]-Tabela3[[#This Row],[Wydatki związane z najmem całkowite]]-Tabela3[[#This Row],[Podatek od przychodu]])</f>
        <v>0</v>
      </c>
      <c r="AC103" s="155">
        <f>IF(Tabela3[[#This Row],[Rok]]&gt;HoryzontInwestycyjny,0,AC102+Tabela3[[#This Row],[Wynik z najmu netto rocznie]])</f>
        <v>0</v>
      </c>
      <c r="AD103" s="176" t="str">
        <f>IF(Tabela3[[#This Row],[Rok]]&gt;HoryzontInwestycyjny,"",IF(ZmianaWartościNieruchomości="Inflacyjnie",Inflacja,0))</f>
        <v/>
      </c>
      <c r="AE103" s="177" t="str">
        <f>IF(Tabela3[[#This Row],[Rok]]&gt;HoryzontInwestycyjny,"",StałyProcentZmianyWartościNieruchomości)</f>
        <v/>
      </c>
      <c r="AF103" s="178" t="str">
        <f>IF(Tabela3[[#This Row],[Rok]]&gt;HoryzontInwestycyjny,"",StałaKwotaZmianyWartościNieruchomości)</f>
        <v/>
      </c>
      <c r="AG103" s="155">
        <f>IF(Tabela3[[#This Row],[Rok]]&gt;HoryzontInwestycyjny,0,IF(ZmianaWartościNieruchomości="bez zmian",AG102,IF(ZmianaWartościNieruchomości="inflacyjnie",AG102*(1+Tabela3[[#This Row],[Inflacja3]]),IF(ZmianaWartościNieruchomości="stały %",AG102*(1+Tabela3[[#This Row],[Stały % zmiany warrtości]]),IF(ZmianaWartościNieruchomości="stała kwota",AG102+AF103,AG102)))))</f>
        <v>0</v>
      </c>
      <c r="AH103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03" s="177" cm="1">
        <f t="array" ref="AI103">Tabela3[[#This Row],[Wynik z najmu netto rocznie]]/IF(CzyKredyt="Tak",WydanaGotówka2,WydanaGotówka1)</f>
        <v>0</v>
      </c>
      <c r="AJ103" s="177" cm="1">
        <f t="array" ref="AJ103">Tabela3[[#This Row],[Wynik z najmu netto rocznie]]/IF(CzyKredyt="Tak",SumaKosztówPoczątkowychInwestycji,SumaKosztów)</f>
        <v>0</v>
      </c>
      <c r="AK103" s="155" cm="1">
        <f t="array" ref="AK103">IF(Tabela3[[#This Row],[Rok]]&gt;HoryzontInwestycyjny,0,-IF(CzyKredyt="Tak",WydanaGotówka2,WydanaGotówka1)+Tabela3[[#This Row],[Skumulowany wynik z najmu netto z najmu]])</f>
        <v>0</v>
      </c>
    </row>
    <row r="104" spans="3:37">
      <c r="C104" s="158">
        <v>51</v>
      </c>
      <c r="D104" s="152">
        <f t="shared" si="4"/>
        <v>0.02</v>
      </c>
      <c r="E104" s="152">
        <f t="shared" si="5"/>
        <v>0.04</v>
      </c>
      <c r="F104" s="167">
        <f t="shared" si="6"/>
        <v>150</v>
      </c>
      <c r="G104" s="151">
        <f>IF(Tabela3[[#This Row],[Rok]]&gt;HoryzontInwestycyjny,0,IF(ZmianaOdstępnego="bez zmian",G103,IF(ZmianaOdstępnego="inflacyjnie",G103*(1+Wyniki2!$D104),IF(ZmianaOdstępnego="stały %",G103*(1+Wyniki2!$E104),IF(ZmianaOdstępnego="stała kwota",G103+Wyniki2!$F104,)))))</f>
        <v>0</v>
      </c>
      <c r="H104" s="165">
        <f>IF(Tabela3[[#This Row],[Rok]]&gt;HoryzontInwestycyjny,0,MAX(0, MiesiąceNajmu - MAX(0, MAX(IFERROR(IF(MOD($C104, MałyRemont) = 0,Czas_MałyRemont, 0),0),IFERROR(IF(MOD($C104,DużyRemont) = 0,Czas_DużyRemont, 0),0)) - (12 -MiesiąceNajmu))))</f>
        <v>0</v>
      </c>
      <c r="I104" s="166">
        <f t="shared" ref="I104:I121" si="7">G104*H104</f>
        <v>0</v>
      </c>
      <c r="J104" s="152" t="str">
        <f>IF(Tabela3[[#This Row],[Rok]]&gt;HoryzontInwestycyjny,"",IF(ZmianaKosztów="TAK",Inflacja,0))</f>
        <v/>
      </c>
      <c r="K104" s="155"/>
      <c r="L104" s="155"/>
      <c r="M104" s="155"/>
      <c r="N104" s="171" cm="1">
        <f t="array" ref="N104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04" s="171" cm="1">
        <f t="array" ref="O104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04" s="155" cm="1">
        <f t="array" ref="P104">IF(Tabela3[[#This Row],[Rok]]&gt;HoryzontInwestycyjny,0,IF(12-Tabela3[[#This Row],[Liczba wynajętych miesięcy w roku]]&gt;0, (12-Tabela3[[#This Row],[Liczba wynajętych miesięcy w roku]]) *CzynszWspólnoty* IF(ZmianaKosztów="Tak", PRODUCT(1+J$54:INDEX($J$54:J104, ROWS($D$54:D104)-1)), 1), 0))</f>
        <v>0</v>
      </c>
      <c r="Q104" s="170">
        <f>IF(Tabela3[[#This Row],[Rok]]&gt;HoryzontInwestycyjny,0,SUMIF(Kredyt!$E:$E,Tabela3[[#This Row],[Rok]],Kredyt!$I:$I))</f>
        <v>0</v>
      </c>
      <c r="R104" s="171">
        <f>IF(Tabela3[[#This Row],[Rok]]&gt;HoryzontInwestycyjny,0,SUMIF(Kredyt!$E:$E,Tabela3[[#This Row],[Rok]],Kredyt!$J:$J))</f>
        <v>0</v>
      </c>
      <c r="S104" s="155">
        <f>Tabela3[[#This Row],[Rata kredytu: odsetki]]+Tabela3[[#This Row],[Rata kredytu: kapitał]]</f>
        <v>0</v>
      </c>
      <c r="T104" s="169" cm="1">
        <f t="array" ref="T104">IF(Tabela3[[#This Row],[Rok]]&gt;HoryzontInwestycyjny,0,IFERROR(INDEX(Kredyt!$M:$M,11+Tabela3[[#This Row],[Rok]]*12) * UbezŻyć,""))</f>
        <v>0</v>
      </c>
      <c r="U104" s="155" cm="1">
        <f t="array" ref="U104">IF(Tabela3[[#This Row],[Rok]]&gt;HoryzontInwestycyjny,0,IF(CzasKredytu&gt;=Tabela3[[#This Row],[Rok]],IF(ZmianaKosztów="Tak",UbezMiesz* PRODUCT(1+J104:J104), UbezMiesz),""))</f>
        <v>0</v>
      </c>
      <c r="V104" s="155" cm="1">
        <f t="array" ref="V104">IF(Tabela3[[#This Row],[Rok]]&gt;HoryzontInwestycyjny,0,IF(ZmianaKosztów="Tak", PodatekOdNieruchomości * PRODUCT(1+J$54:J103), PodNie))</f>
        <v>0</v>
      </c>
      <c r="W104" s="155">
        <f>KosztyZarządzania*Tabela3[[#This Row],[Przychody z wynajmu]]</f>
        <v>0</v>
      </c>
      <c r="X104" s="155" cm="1">
        <f t="array" ref="X104">IF(Tabela3[[#This Row],[Rok]]&gt;HoryzontInwestycyjny,0,IF(ZmianaKosztów="Tak", InneKosztyRocznie* PRODUCT(1+J$55:J104), InneKosztyRocznie))</f>
        <v>0</v>
      </c>
      <c r="Y104" s="155">
        <f>SUM(Tabela3[[#This Row],[Cena mieszkania + remont początkowy]:[Inne koszty]])-Tabela3[[#This Row],[Rata kredytu]]</f>
        <v>0</v>
      </c>
      <c r="Z104" s="155">
        <f>IF(Tabela3[[#This Row],[Przychody z wynajmu]]&lt;=100000, Tabela3[[#This Row],[Przychody z wynajmu]]*MałyPodatek, 100000*MałyPodatek + (Tabela3[[#This Row],[Przychody z wynajmu]]-100000)*DużyPodatek)</f>
        <v>0</v>
      </c>
      <c r="AA104" s="155">
        <f>Tabela3[[#This Row],[Wydatki związane z najmem całkowite]]+Tabela3[[#This Row],[Podatek od przychodu]]</f>
        <v>0</v>
      </c>
      <c r="AB104" s="155">
        <f>IF(Tabela3[[#This Row],[Rok]]&gt;HoryzontInwestycyjny,0,Tabela3[[#This Row],[Przychody z wynajmu]]-Tabela3[[#This Row],[Wydatki związane z najmem całkowite]]-Tabela3[[#This Row],[Podatek od przychodu]])</f>
        <v>0</v>
      </c>
      <c r="AC104" s="155">
        <f>IF(Tabela3[[#This Row],[Rok]]&gt;HoryzontInwestycyjny,0,AC103+Tabela3[[#This Row],[Wynik z najmu netto rocznie]])</f>
        <v>0</v>
      </c>
      <c r="AD104" s="176" t="str">
        <f>IF(Tabela3[[#This Row],[Rok]]&gt;HoryzontInwestycyjny,"",IF(ZmianaWartościNieruchomości="Inflacyjnie",Inflacja,0))</f>
        <v/>
      </c>
      <c r="AE104" s="177" t="str">
        <f>IF(Tabela3[[#This Row],[Rok]]&gt;HoryzontInwestycyjny,"",StałyProcentZmianyWartościNieruchomości)</f>
        <v/>
      </c>
      <c r="AF104" s="178" t="str">
        <f>IF(Tabela3[[#This Row],[Rok]]&gt;HoryzontInwestycyjny,"",StałaKwotaZmianyWartościNieruchomości)</f>
        <v/>
      </c>
      <c r="AG104" s="155">
        <f>IF(Tabela3[[#This Row],[Rok]]&gt;HoryzontInwestycyjny,0,IF(ZmianaWartościNieruchomości="bez zmian",AG103,IF(ZmianaWartościNieruchomości="inflacyjnie",AG103*(1+Tabela3[[#This Row],[Inflacja3]]),IF(ZmianaWartościNieruchomości="stały %",AG103*(1+Tabela3[[#This Row],[Stały % zmiany warrtości]]),IF(ZmianaWartościNieruchomości="stała kwota",AG103+AF104,AG103)))))</f>
        <v>0</v>
      </c>
      <c r="AH104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04" s="177" cm="1">
        <f t="array" ref="AI104">Tabela3[[#This Row],[Wynik z najmu netto rocznie]]/IF(CzyKredyt="Tak",WydanaGotówka2,WydanaGotówka1)</f>
        <v>0</v>
      </c>
      <c r="AJ104" s="177" cm="1">
        <f t="array" ref="AJ104">Tabela3[[#This Row],[Wynik z najmu netto rocznie]]/IF(CzyKredyt="Tak",SumaKosztówPoczątkowychInwestycji,SumaKosztów)</f>
        <v>0</v>
      </c>
      <c r="AK104" s="155" cm="1">
        <f t="array" ref="AK104">IF(Tabela3[[#This Row],[Rok]]&gt;HoryzontInwestycyjny,0,-IF(CzyKredyt="Tak",WydanaGotówka2,WydanaGotówka1)+Tabela3[[#This Row],[Skumulowany wynik z najmu netto z najmu]])</f>
        <v>0</v>
      </c>
    </row>
    <row r="105" spans="3:37">
      <c r="C105" s="168">
        <v>52</v>
      </c>
      <c r="D105" s="152">
        <f t="shared" si="4"/>
        <v>0.02</v>
      </c>
      <c r="E105" s="152">
        <f t="shared" si="5"/>
        <v>0.04</v>
      </c>
      <c r="F105" s="167">
        <f t="shared" si="6"/>
        <v>150</v>
      </c>
      <c r="G105" s="151">
        <f>IF(Tabela3[[#This Row],[Rok]]&gt;HoryzontInwestycyjny,0,IF(ZmianaOdstępnego="bez zmian",G104,IF(ZmianaOdstępnego="inflacyjnie",G104*(1+Wyniki2!$D105),IF(ZmianaOdstępnego="stały %",G104*(1+Wyniki2!$E105),IF(ZmianaOdstępnego="stała kwota",G104+Wyniki2!$F105,)))))</f>
        <v>0</v>
      </c>
      <c r="H105" s="165">
        <f>IF(Tabela3[[#This Row],[Rok]]&gt;HoryzontInwestycyjny,0,MAX(0, MiesiąceNajmu - MAX(0, MAX(IFERROR(IF(MOD($C105, MałyRemont) = 0,Czas_MałyRemont, 0),0),IFERROR(IF(MOD($C105,DużyRemont) = 0,Czas_DużyRemont, 0),0)) - (12 -MiesiąceNajmu))))</f>
        <v>0</v>
      </c>
      <c r="I105" s="166">
        <f t="shared" si="7"/>
        <v>0</v>
      </c>
      <c r="J105" s="152" t="str">
        <f>IF(Tabela3[[#This Row],[Rok]]&gt;HoryzontInwestycyjny,"",IF(ZmianaKosztów="TAK",Inflacja,0))</f>
        <v/>
      </c>
      <c r="K105" s="172"/>
      <c r="L105" s="172"/>
      <c r="M105" s="172"/>
      <c r="N105" s="171" cm="1">
        <f t="array" ref="N105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05" s="171" cm="1">
        <f t="array" ref="O105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05" s="155" cm="1">
        <f t="array" ref="P105">IF(Tabela3[[#This Row],[Rok]]&gt;HoryzontInwestycyjny,0,IF(12-Tabela3[[#This Row],[Liczba wynajętych miesięcy w roku]]&gt;0, (12-Tabela3[[#This Row],[Liczba wynajętych miesięcy w roku]]) *CzynszWspólnoty* IF(ZmianaKosztów="Tak", PRODUCT(1+J$54:INDEX($J$54:J105, ROWS($D$54:D105)-1)), 1), 0))</f>
        <v>0</v>
      </c>
      <c r="Q105" s="170">
        <f>IF(Tabela3[[#This Row],[Rok]]&gt;HoryzontInwestycyjny,0,SUMIF(Kredyt!$E:$E,Tabela3[[#This Row],[Rok]],Kredyt!$I:$I))</f>
        <v>0</v>
      </c>
      <c r="R105" s="171">
        <f>IF(Tabela3[[#This Row],[Rok]]&gt;HoryzontInwestycyjny,0,SUMIF(Kredyt!$E:$E,Tabela3[[#This Row],[Rok]],Kredyt!$J:$J))</f>
        <v>0</v>
      </c>
      <c r="S105" s="172">
        <f>Tabela3[[#This Row],[Rata kredytu: odsetki]]+Tabela3[[#This Row],[Rata kredytu: kapitał]]</f>
        <v>0</v>
      </c>
      <c r="T105" s="169" cm="1">
        <f t="array" ref="T105">IF(Tabela3[[#This Row],[Rok]]&gt;HoryzontInwestycyjny,0,IFERROR(INDEX(Kredyt!$M:$M,11+Tabela3[[#This Row],[Rok]]*12) * UbezŻyć,""))</f>
        <v>0</v>
      </c>
      <c r="U105" s="155" cm="1">
        <f t="array" ref="U105">IF(Tabela3[[#This Row],[Rok]]&gt;HoryzontInwestycyjny,0,IF(CzasKredytu&gt;=Tabela3[[#This Row],[Rok]],IF(ZmianaKosztów="Tak",UbezMiesz* PRODUCT(1+J105:J105), UbezMiesz),""))</f>
        <v>0</v>
      </c>
      <c r="V105" s="155" cm="1">
        <f t="array" ref="V105">IF(Tabela3[[#This Row],[Rok]]&gt;HoryzontInwestycyjny,0,IF(ZmianaKosztów="Tak", PodatekOdNieruchomości * PRODUCT(1+J$54:J104), PodNie))</f>
        <v>0</v>
      </c>
      <c r="W105" s="155">
        <f>KosztyZarządzania*Tabela3[[#This Row],[Przychody z wynajmu]]</f>
        <v>0</v>
      </c>
      <c r="X105" s="155" cm="1">
        <f t="array" ref="X105">IF(Tabela3[[#This Row],[Rok]]&gt;HoryzontInwestycyjny,0,IF(ZmianaKosztów="Tak", InneKosztyRocznie* PRODUCT(1+J$55:J105), InneKosztyRocznie))</f>
        <v>0</v>
      </c>
      <c r="Y105" s="155">
        <f>SUM(Tabela3[[#This Row],[Cena mieszkania + remont początkowy]:[Inne koszty]])-Tabela3[[#This Row],[Rata kredytu]]</f>
        <v>0</v>
      </c>
      <c r="Z105" s="155">
        <f>IF(Tabela3[[#This Row],[Przychody z wynajmu]]&lt;=100000, Tabela3[[#This Row],[Przychody z wynajmu]]*MałyPodatek, 100000*MałyPodatek + (Tabela3[[#This Row],[Przychody z wynajmu]]-100000)*DużyPodatek)</f>
        <v>0</v>
      </c>
      <c r="AA105" s="155">
        <f>Tabela3[[#This Row],[Wydatki związane z najmem całkowite]]+Tabela3[[#This Row],[Podatek od przychodu]]</f>
        <v>0</v>
      </c>
      <c r="AB105" s="155">
        <f>IF(Tabela3[[#This Row],[Rok]]&gt;HoryzontInwestycyjny,0,Tabela3[[#This Row],[Przychody z wynajmu]]-Tabela3[[#This Row],[Wydatki związane z najmem całkowite]]-Tabela3[[#This Row],[Podatek od przychodu]])</f>
        <v>0</v>
      </c>
      <c r="AC105" s="155">
        <f>IF(Tabela3[[#This Row],[Rok]]&gt;HoryzontInwestycyjny,0,AC104+Tabela3[[#This Row],[Wynik z najmu netto rocznie]])</f>
        <v>0</v>
      </c>
      <c r="AD105" s="176" t="str">
        <f>IF(Tabela3[[#This Row],[Rok]]&gt;HoryzontInwestycyjny,"",IF(ZmianaWartościNieruchomości="Inflacyjnie",Inflacja,0))</f>
        <v/>
      </c>
      <c r="AE105" s="177" t="str">
        <f>IF(Tabela3[[#This Row],[Rok]]&gt;HoryzontInwestycyjny,"",StałyProcentZmianyWartościNieruchomości)</f>
        <v/>
      </c>
      <c r="AF105" s="178" t="str">
        <f>IF(Tabela3[[#This Row],[Rok]]&gt;HoryzontInwestycyjny,"",StałaKwotaZmianyWartościNieruchomości)</f>
        <v/>
      </c>
      <c r="AG105" s="155">
        <f>IF(Tabela3[[#This Row],[Rok]]&gt;HoryzontInwestycyjny,0,IF(ZmianaWartościNieruchomości="bez zmian",AG104,IF(ZmianaWartościNieruchomości="inflacyjnie",AG104*(1+Tabela3[[#This Row],[Inflacja3]]),IF(ZmianaWartościNieruchomości="stały %",AG104*(1+Tabela3[[#This Row],[Stały % zmiany warrtości]]),IF(ZmianaWartościNieruchomości="stała kwota",AG104+AF105,AG104)))))</f>
        <v>0</v>
      </c>
      <c r="AH105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05" s="177" cm="1">
        <f t="array" ref="AI105">Tabela3[[#This Row],[Wynik z najmu netto rocznie]]/IF(CzyKredyt="Tak",WydanaGotówka2,WydanaGotówka1)</f>
        <v>0</v>
      </c>
      <c r="AJ105" s="177" cm="1">
        <f t="array" ref="AJ105">Tabela3[[#This Row],[Wynik z najmu netto rocznie]]/IF(CzyKredyt="Tak",SumaKosztówPoczątkowychInwestycji,SumaKosztów)</f>
        <v>0</v>
      </c>
      <c r="AK105" s="155" cm="1">
        <f t="array" ref="AK105">IF(Tabela3[[#This Row],[Rok]]&gt;HoryzontInwestycyjny,0,-IF(CzyKredyt="Tak",WydanaGotówka2,WydanaGotówka1)+Tabela3[[#This Row],[Skumulowany wynik z najmu netto z najmu]])</f>
        <v>0</v>
      </c>
    </row>
    <row r="106" spans="3:37">
      <c r="C106" s="158">
        <v>53</v>
      </c>
      <c r="D106" s="152">
        <f t="shared" si="4"/>
        <v>0.02</v>
      </c>
      <c r="E106" s="152">
        <f t="shared" si="5"/>
        <v>0.04</v>
      </c>
      <c r="F106" s="167">
        <f t="shared" si="6"/>
        <v>150</v>
      </c>
      <c r="G106" s="151">
        <f>IF(Tabela3[[#This Row],[Rok]]&gt;HoryzontInwestycyjny,0,IF(ZmianaOdstępnego="bez zmian",G105,IF(ZmianaOdstępnego="inflacyjnie",G105*(1+Wyniki2!$D106),IF(ZmianaOdstępnego="stały %",G105*(1+Wyniki2!$E106),IF(ZmianaOdstępnego="stała kwota",G105+Wyniki2!$F106,)))))</f>
        <v>0</v>
      </c>
      <c r="H106" s="165">
        <f>IF(Tabela3[[#This Row],[Rok]]&gt;HoryzontInwestycyjny,0,MAX(0, MiesiąceNajmu - MAX(0, MAX(IFERROR(IF(MOD($C106, MałyRemont) = 0,Czas_MałyRemont, 0),0),IFERROR(IF(MOD($C106,DużyRemont) = 0,Czas_DużyRemont, 0),0)) - (12 -MiesiąceNajmu))))</f>
        <v>0</v>
      </c>
      <c r="I106" s="166">
        <f t="shared" si="7"/>
        <v>0</v>
      </c>
      <c r="J106" s="152" t="str">
        <f>IF(Tabela3[[#This Row],[Rok]]&gt;HoryzontInwestycyjny,"",IF(ZmianaKosztów="TAK",Inflacja,0))</f>
        <v/>
      </c>
      <c r="K106" s="155"/>
      <c r="L106" s="155"/>
      <c r="M106" s="155"/>
      <c r="N106" s="171" cm="1">
        <f t="array" ref="N106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06" s="171" cm="1">
        <f t="array" ref="O106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06" s="155" cm="1">
        <f t="array" ref="P106">IF(Tabela3[[#This Row],[Rok]]&gt;HoryzontInwestycyjny,0,IF(12-Tabela3[[#This Row],[Liczba wynajętych miesięcy w roku]]&gt;0, (12-Tabela3[[#This Row],[Liczba wynajętych miesięcy w roku]]) *CzynszWspólnoty* IF(ZmianaKosztów="Tak", PRODUCT(1+J$54:INDEX($J$54:J106, ROWS($D$54:D106)-1)), 1), 0))</f>
        <v>0</v>
      </c>
      <c r="Q106" s="170">
        <f>IF(Tabela3[[#This Row],[Rok]]&gt;HoryzontInwestycyjny,0,SUMIF(Kredyt!$E:$E,Tabela3[[#This Row],[Rok]],Kredyt!$I:$I))</f>
        <v>0</v>
      </c>
      <c r="R106" s="171">
        <f>IF(Tabela3[[#This Row],[Rok]]&gt;HoryzontInwestycyjny,0,SUMIF(Kredyt!$E:$E,Tabela3[[#This Row],[Rok]],Kredyt!$J:$J))</f>
        <v>0</v>
      </c>
      <c r="S106" s="155">
        <f>Tabela3[[#This Row],[Rata kredytu: odsetki]]+Tabela3[[#This Row],[Rata kredytu: kapitał]]</f>
        <v>0</v>
      </c>
      <c r="T106" s="169" cm="1">
        <f t="array" ref="T106">IF(Tabela3[[#This Row],[Rok]]&gt;HoryzontInwestycyjny,0,IFERROR(INDEX(Kredyt!$M:$M,11+Tabela3[[#This Row],[Rok]]*12) * UbezŻyć,""))</f>
        <v>0</v>
      </c>
      <c r="U106" s="155" cm="1">
        <f t="array" ref="U106">IF(Tabela3[[#This Row],[Rok]]&gt;HoryzontInwestycyjny,0,IF(CzasKredytu&gt;=Tabela3[[#This Row],[Rok]],IF(ZmianaKosztów="Tak",UbezMiesz* PRODUCT(1+J106:J106), UbezMiesz),""))</f>
        <v>0</v>
      </c>
      <c r="V106" s="155" cm="1">
        <f t="array" ref="V106">IF(Tabela3[[#This Row],[Rok]]&gt;HoryzontInwestycyjny,0,IF(ZmianaKosztów="Tak", PodatekOdNieruchomości * PRODUCT(1+J$54:J105), PodNie))</f>
        <v>0</v>
      </c>
      <c r="W106" s="155">
        <f>KosztyZarządzania*Tabela3[[#This Row],[Przychody z wynajmu]]</f>
        <v>0</v>
      </c>
      <c r="X106" s="155" cm="1">
        <f t="array" ref="X106">IF(Tabela3[[#This Row],[Rok]]&gt;HoryzontInwestycyjny,0,IF(ZmianaKosztów="Tak", InneKosztyRocznie* PRODUCT(1+J$55:J106), InneKosztyRocznie))</f>
        <v>0</v>
      </c>
      <c r="Y106" s="155">
        <f>SUM(Tabela3[[#This Row],[Cena mieszkania + remont początkowy]:[Inne koszty]])-Tabela3[[#This Row],[Rata kredytu]]</f>
        <v>0</v>
      </c>
      <c r="Z106" s="155">
        <f>IF(Tabela3[[#This Row],[Przychody z wynajmu]]&lt;=100000, Tabela3[[#This Row],[Przychody z wynajmu]]*MałyPodatek, 100000*MałyPodatek + (Tabela3[[#This Row],[Przychody z wynajmu]]-100000)*DużyPodatek)</f>
        <v>0</v>
      </c>
      <c r="AA106" s="155">
        <f>Tabela3[[#This Row],[Wydatki związane z najmem całkowite]]+Tabela3[[#This Row],[Podatek od przychodu]]</f>
        <v>0</v>
      </c>
      <c r="AB106" s="155">
        <f>IF(Tabela3[[#This Row],[Rok]]&gt;HoryzontInwestycyjny,0,Tabela3[[#This Row],[Przychody z wynajmu]]-Tabela3[[#This Row],[Wydatki związane z najmem całkowite]]-Tabela3[[#This Row],[Podatek od przychodu]])</f>
        <v>0</v>
      </c>
      <c r="AC106" s="155">
        <f>IF(Tabela3[[#This Row],[Rok]]&gt;HoryzontInwestycyjny,0,AC105+Tabela3[[#This Row],[Wynik z najmu netto rocznie]])</f>
        <v>0</v>
      </c>
      <c r="AD106" s="176" t="str">
        <f>IF(Tabela3[[#This Row],[Rok]]&gt;HoryzontInwestycyjny,"",IF(ZmianaWartościNieruchomości="Inflacyjnie",Inflacja,0))</f>
        <v/>
      </c>
      <c r="AE106" s="177" t="str">
        <f>IF(Tabela3[[#This Row],[Rok]]&gt;HoryzontInwestycyjny,"",StałyProcentZmianyWartościNieruchomości)</f>
        <v/>
      </c>
      <c r="AF106" s="178" t="str">
        <f>IF(Tabela3[[#This Row],[Rok]]&gt;HoryzontInwestycyjny,"",StałaKwotaZmianyWartościNieruchomości)</f>
        <v/>
      </c>
      <c r="AG106" s="155">
        <f>IF(Tabela3[[#This Row],[Rok]]&gt;HoryzontInwestycyjny,0,IF(ZmianaWartościNieruchomości="bez zmian",AG105,IF(ZmianaWartościNieruchomości="inflacyjnie",AG105*(1+Tabela3[[#This Row],[Inflacja3]]),IF(ZmianaWartościNieruchomości="stały %",AG105*(1+Tabela3[[#This Row],[Stały % zmiany warrtości]]),IF(ZmianaWartościNieruchomości="stała kwota",AG105+AF106,AG105)))))</f>
        <v>0</v>
      </c>
      <c r="AH106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06" s="177" cm="1">
        <f t="array" ref="AI106">Tabela3[[#This Row],[Wynik z najmu netto rocznie]]/IF(CzyKredyt="Tak",WydanaGotówka2,WydanaGotówka1)</f>
        <v>0</v>
      </c>
      <c r="AJ106" s="177" cm="1">
        <f t="array" ref="AJ106">Tabela3[[#This Row],[Wynik z najmu netto rocznie]]/IF(CzyKredyt="Tak",SumaKosztówPoczątkowychInwestycji,SumaKosztów)</f>
        <v>0</v>
      </c>
      <c r="AK106" s="155" cm="1">
        <f t="array" ref="AK106">IF(Tabela3[[#This Row],[Rok]]&gt;HoryzontInwestycyjny,0,-IF(CzyKredyt="Tak",WydanaGotówka2,WydanaGotówka1)+Tabela3[[#This Row],[Skumulowany wynik z najmu netto z najmu]])</f>
        <v>0</v>
      </c>
    </row>
    <row r="107" spans="3:37">
      <c r="C107" s="168">
        <v>54</v>
      </c>
      <c r="D107" s="152">
        <f t="shared" si="4"/>
        <v>0.02</v>
      </c>
      <c r="E107" s="152">
        <f t="shared" si="5"/>
        <v>0.04</v>
      </c>
      <c r="F107" s="167">
        <f t="shared" si="6"/>
        <v>150</v>
      </c>
      <c r="G107" s="151">
        <f>IF(Tabela3[[#This Row],[Rok]]&gt;HoryzontInwestycyjny,0,IF(ZmianaOdstępnego="bez zmian",G106,IF(ZmianaOdstępnego="inflacyjnie",G106*(1+Wyniki2!$D107),IF(ZmianaOdstępnego="stały %",G106*(1+Wyniki2!$E107),IF(ZmianaOdstępnego="stała kwota",G106+Wyniki2!$F107,)))))</f>
        <v>0</v>
      </c>
      <c r="H107" s="165">
        <f>IF(Tabela3[[#This Row],[Rok]]&gt;HoryzontInwestycyjny,0,MAX(0, MiesiąceNajmu - MAX(0, MAX(IFERROR(IF(MOD($C107, MałyRemont) = 0,Czas_MałyRemont, 0),0),IFERROR(IF(MOD($C107,DużyRemont) = 0,Czas_DużyRemont, 0),0)) - (12 -MiesiąceNajmu))))</f>
        <v>0</v>
      </c>
      <c r="I107" s="166">
        <f t="shared" si="7"/>
        <v>0</v>
      </c>
      <c r="J107" s="152" t="str">
        <f>IF(Tabela3[[#This Row],[Rok]]&gt;HoryzontInwestycyjny,"",IF(ZmianaKosztów="TAK",Inflacja,0))</f>
        <v/>
      </c>
      <c r="K107" s="172"/>
      <c r="L107" s="172"/>
      <c r="M107" s="172"/>
      <c r="N107" s="171" cm="1">
        <f t="array" ref="N107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07" s="171" cm="1">
        <f t="array" ref="O107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07" s="155" cm="1">
        <f t="array" ref="P107">IF(Tabela3[[#This Row],[Rok]]&gt;HoryzontInwestycyjny,0,IF(12-Tabela3[[#This Row],[Liczba wynajętych miesięcy w roku]]&gt;0, (12-Tabela3[[#This Row],[Liczba wynajętych miesięcy w roku]]) *CzynszWspólnoty* IF(ZmianaKosztów="Tak", PRODUCT(1+J$54:INDEX($J$54:J107, ROWS($D$54:D107)-1)), 1), 0))</f>
        <v>0</v>
      </c>
      <c r="Q107" s="170">
        <f>IF(Tabela3[[#This Row],[Rok]]&gt;HoryzontInwestycyjny,0,SUMIF(Kredyt!$E:$E,Tabela3[[#This Row],[Rok]],Kredyt!$I:$I))</f>
        <v>0</v>
      </c>
      <c r="R107" s="171">
        <f>IF(Tabela3[[#This Row],[Rok]]&gt;HoryzontInwestycyjny,0,SUMIF(Kredyt!$E:$E,Tabela3[[#This Row],[Rok]],Kredyt!$J:$J))</f>
        <v>0</v>
      </c>
      <c r="S107" s="172">
        <f>Tabela3[[#This Row],[Rata kredytu: odsetki]]+Tabela3[[#This Row],[Rata kredytu: kapitał]]</f>
        <v>0</v>
      </c>
      <c r="T107" s="169" cm="1">
        <f t="array" ref="T107">IF(Tabela3[[#This Row],[Rok]]&gt;HoryzontInwestycyjny,0,IFERROR(INDEX(Kredyt!$M:$M,11+Tabela3[[#This Row],[Rok]]*12) * UbezŻyć,""))</f>
        <v>0</v>
      </c>
      <c r="U107" s="155" cm="1">
        <f t="array" ref="U107">IF(Tabela3[[#This Row],[Rok]]&gt;HoryzontInwestycyjny,0,IF(CzasKredytu&gt;=Tabela3[[#This Row],[Rok]],IF(ZmianaKosztów="Tak",UbezMiesz* PRODUCT(1+J107:J107), UbezMiesz),""))</f>
        <v>0</v>
      </c>
      <c r="V107" s="155" cm="1">
        <f t="array" ref="V107">IF(Tabela3[[#This Row],[Rok]]&gt;HoryzontInwestycyjny,0,IF(ZmianaKosztów="Tak", PodatekOdNieruchomości * PRODUCT(1+J$54:J106), PodNie))</f>
        <v>0</v>
      </c>
      <c r="W107" s="155">
        <f>KosztyZarządzania*Tabela3[[#This Row],[Przychody z wynajmu]]</f>
        <v>0</v>
      </c>
      <c r="X107" s="155" cm="1">
        <f t="array" ref="X107">IF(Tabela3[[#This Row],[Rok]]&gt;HoryzontInwestycyjny,0,IF(ZmianaKosztów="Tak", InneKosztyRocznie* PRODUCT(1+J$55:J107), InneKosztyRocznie))</f>
        <v>0</v>
      </c>
      <c r="Y107" s="155">
        <f>SUM(Tabela3[[#This Row],[Cena mieszkania + remont początkowy]:[Inne koszty]])-Tabela3[[#This Row],[Rata kredytu]]</f>
        <v>0</v>
      </c>
      <c r="Z107" s="155">
        <f>IF(Tabela3[[#This Row],[Przychody z wynajmu]]&lt;=100000, Tabela3[[#This Row],[Przychody z wynajmu]]*MałyPodatek, 100000*MałyPodatek + (Tabela3[[#This Row],[Przychody z wynajmu]]-100000)*DużyPodatek)</f>
        <v>0</v>
      </c>
      <c r="AA107" s="155">
        <f>Tabela3[[#This Row],[Wydatki związane z najmem całkowite]]+Tabela3[[#This Row],[Podatek od przychodu]]</f>
        <v>0</v>
      </c>
      <c r="AB107" s="155">
        <f>IF(Tabela3[[#This Row],[Rok]]&gt;HoryzontInwestycyjny,0,Tabela3[[#This Row],[Przychody z wynajmu]]-Tabela3[[#This Row],[Wydatki związane z najmem całkowite]]-Tabela3[[#This Row],[Podatek od przychodu]])</f>
        <v>0</v>
      </c>
      <c r="AC107" s="155">
        <f>IF(Tabela3[[#This Row],[Rok]]&gt;HoryzontInwestycyjny,0,AC106+Tabela3[[#This Row],[Wynik z najmu netto rocznie]])</f>
        <v>0</v>
      </c>
      <c r="AD107" s="176" t="str">
        <f>IF(Tabela3[[#This Row],[Rok]]&gt;HoryzontInwestycyjny,"",IF(ZmianaWartościNieruchomości="Inflacyjnie",Inflacja,0))</f>
        <v/>
      </c>
      <c r="AE107" s="177" t="str">
        <f>IF(Tabela3[[#This Row],[Rok]]&gt;HoryzontInwestycyjny,"",StałyProcentZmianyWartościNieruchomości)</f>
        <v/>
      </c>
      <c r="AF107" s="178" t="str">
        <f>IF(Tabela3[[#This Row],[Rok]]&gt;HoryzontInwestycyjny,"",StałaKwotaZmianyWartościNieruchomości)</f>
        <v/>
      </c>
      <c r="AG107" s="155">
        <f>IF(Tabela3[[#This Row],[Rok]]&gt;HoryzontInwestycyjny,0,IF(ZmianaWartościNieruchomości="bez zmian",AG106,IF(ZmianaWartościNieruchomości="inflacyjnie",AG106*(1+Tabela3[[#This Row],[Inflacja3]]),IF(ZmianaWartościNieruchomości="stały %",AG106*(1+Tabela3[[#This Row],[Stały % zmiany warrtości]]),IF(ZmianaWartościNieruchomości="stała kwota",AG106+AF107,AG106)))))</f>
        <v>0</v>
      </c>
      <c r="AH107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07" s="177" cm="1">
        <f t="array" ref="AI107">Tabela3[[#This Row],[Wynik z najmu netto rocznie]]/IF(CzyKredyt="Tak",WydanaGotówka2,WydanaGotówka1)</f>
        <v>0</v>
      </c>
      <c r="AJ107" s="177" cm="1">
        <f t="array" ref="AJ107">Tabela3[[#This Row],[Wynik z najmu netto rocznie]]/IF(CzyKredyt="Tak",SumaKosztówPoczątkowychInwestycji,SumaKosztów)</f>
        <v>0</v>
      </c>
      <c r="AK107" s="155" cm="1">
        <f t="array" ref="AK107">IF(Tabela3[[#This Row],[Rok]]&gt;HoryzontInwestycyjny,0,-IF(CzyKredyt="Tak",WydanaGotówka2,WydanaGotówka1)+Tabela3[[#This Row],[Skumulowany wynik z najmu netto z najmu]])</f>
        <v>0</v>
      </c>
    </row>
    <row r="108" spans="3:37">
      <c r="C108" s="158">
        <v>55</v>
      </c>
      <c r="D108" s="152">
        <f t="shared" si="4"/>
        <v>0.02</v>
      </c>
      <c r="E108" s="152">
        <f t="shared" si="5"/>
        <v>0.04</v>
      </c>
      <c r="F108" s="167">
        <f t="shared" si="6"/>
        <v>150</v>
      </c>
      <c r="G108" s="151">
        <f>IF(Tabela3[[#This Row],[Rok]]&gt;HoryzontInwestycyjny,0,IF(ZmianaOdstępnego="bez zmian",G107,IF(ZmianaOdstępnego="inflacyjnie",G107*(1+Wyniki2!$D108),IF(ZmianaOdstępnego="stały %",G107*(1+Wyniki2!$E108),IF(ZmianaOdstępnego="stała kwota",G107+Wyniki2!$F108,)))))</f>
        <v>0</v>
      </c>
      <c r="H108" s="165">
        <f>IF(Tabela3[[#This Row],[Rok]]&gt;HoryzontInwestycyjny,0,MAX(0, MiesiąceNajmu - MAX(0, MAX(IFERROR(IF(MOD($C108, MałyRemont) = 0,Czas_MałyRemont, 0),0),IFERROR(IF(MOD($C108,DużyRemont) = 0,Czas_DużyRemont, 0),0)) - (12 -MiesiąceNajmu))))</f>
        <v>0</v>
      </c>
      <c r="I108" s="166">
        <f t="shared" si="7"/>
        <v>0</v>
      </c>
      <c r="J108" s="152" t="str">
        <f>IF(Tabela3[[#This Row],[Rok]]&gt;HoryzontInwestycyjny,"",IF(ZmianaKosztów="TAK",Inflacja,0))</f>
        <v/>
      </c>
      <c r="K108" s="155"/>
      <c r="L108" s="155"/>
      <c r="M108" s="155"/>
      <c r="N108" s="171" cm="1">
        <f t="array" ref="N108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08" s="171" cm="1">
        <f t="array" ref="O108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08" s="155" cm="1">
        <f t="array" ref="P108">IF(Tabela3[[#This Row],[Rok]]&gt;HoryzontInwestycyjny,0,IF(12-Tabela3[[#This Row],[Liczba wynajętych miesięcy w roku]]&gt;0, (12-Tabela3[[#This Row],[Liczba wynajętych miesięcy w roku]]) *CzynszWspólnoty* IF(ZmianaKosztów="Tak", PRODUCT(1+J$54:INDEX($J$54:J108, ROWS($D$54:D108)-1)), 1), 0))</f>
        <v>0</v>
      </c>
      <c r="Q108" s="170">
        <f>IF(Tabela3[[#This Row],[Rok]]&gt;HoryzontInwestycyjny,0,SUMIF(Kredyt!$E:$E,Tabela3[[#This Row],[Rok]],Kredyt!$I:$I))</f>
        <v>0</v>
      </c>
      <c r="R108" s="171">
        <f>IF(Tabela3[[#This Row],[Rok]]&gt;HoryzontInwestycyjny,0,SUMIF(Kredyt!$E:$E,Tabela3[[#This Row],[Rok]],Kredyt!$J:$J))</f>
        <v>0</v>
      </c>
      <c r="S108" s="155">
        <f>Tabela3[[#This Row],[Rata kredytu: odsetki]]+Tabela3[[#This Row],[Rata kredytu: kapitał]]</f>
        <v>0</v>
      </c>
      <c r="T108" s="169" cm="1">
        <f t="array" ref="T108">IF(Tabela3[[#This Row],[Rok]]&gt;HoryzontInwestycyjny,0,IFERROR(INDEX(Kredyt!$M:$M,11+Tabela3[[#This Row],[Rok]]*12) * UbezŻyć,""))</f>
        <v>0</v>
      </c>
      <c r="U108" s="155" cm="1">
        <f t="array" ref="U108">IF(Tabela3[[#This Row],[Rok]]&gt;HoryzontInwestycyjny,0,IF(CzasKredytu&gt;=Tabela3[[#This Row],[Rok]],IF(ZmianaKosztów="Tak",UbezMiesz* PRODUCT(1+J108:J108), UbezMiesz),""))</f>
        <v>0</v>
      </c>
      <c r="V108" s="155" cm="1">
        <f t="array" ref="V108">IF(Tabela3[[#This Row],[Rok]]&gt;HoryzontInwestycyjny,0,IF(ZmianaKosztów="Tak", PodatekOdNieruchomości * PRODUCT(1+J$54:J107), PodNie))</f>
        <v>0</v>
      </c>
      <c r="W108" s="155">
        <f>KosztyZarządzania*Tabela3[[#This Row],[Przychody z wynajmu]]</f>
        <v>0</v>
      </c>
      <c r="X108" s="155" cm="1">
        <f t="array" ref="X108">IF(Tabela3[[#This Row],[Rok]]&gt;HoryzontInwestycyjny,0,IF(ZmianaKosztów="Tak", InneKosztyRocznie* PRODUCT(1+J$55:J108), InneKosztyRocznie))</f>
        <v>0</v>
      </c>
      <c r="Y108" s="155">
        <f>SUM(Tabela3[[#This Row],[Cena mieszkania + remont początkowy]:[Inne koszty]])-Tabela3[[#This Row],[Rata kredytu]]</f>
        <v>0</v>
      </c>
      <c r="Z108" s="155">
        <f>IF(Tabela3[[#This Row],[Przychody z wynajmu]]&lt;=100000, Tabela3[[#This Row],[Przychody z wynajmu]]*MałyPodatek, 100000*MałyPodatek + (Tabela3[[#This Row],[Przychody z wynajmu]]-100000)*DużyPodatek)</f>
        <v>0</v>
      </c>
      <c r="AA108" s="155">
        <f>Tabela3[[#This Row],[Wydatki związane z najmem całkowite]]+Tabela3[[#This Row],[Podatek od przychodu]]</f>
        <v>0</v>
      </c>
      <c r="AB108" s="155">
        <f>IF(Tabela3[[#This Row],[Rok]]&gt;HoryzontInwestycyjny,0,Tabela3[[#This Row],[Przychody z wynajmu]]-Tabela3[[#This Row],[Wydatki związane z najmem całkowite]]-Tabela3[[#This Row],[Podatek od przychodu]])</f>
        <v>0</v>
      </c>
      <c r="AC108" s="155">
        <f>IF(Tabela3[[#This Row],[Rok]]&gt;HoryzontInwestycyjny,0,AC107+Tabela3[[#This Row],[Wynik z najmu netto rocznie]])</f>
        <v>0</v>
      </c>
      <c r="AD108" s="176" t="str">
        <f>IF(Tabela3[[#This Row],[Rok]]&gt;HoryzontInwestycyjny,"",IF(ZmianaWartościNieruchomości="Inflacyjnie",Inflacja,0))</f>
        <v/>
      </c>
      <c r="AE108" s="177" t="str">
        <f>IF(Tabela3[[#This Row],[Rok]]&gt;HoryzontInwestycyjny,"",StałyProcentZmianyWartościNieruchomości)</f>
        <v/>
      </c>
      <c r="AF108" s="178" t="str">
        <f>IF(Tabela3[[#This Row],[Rok]]&gt;HoryzontInwestycyjny,"",StałaKwotaZmianyWartościNieruchomości)</f>
        <v/>
      </c>
      <c r="AG108" s="155">
        <f>IF(Tabela3[[#This Row],[Rok]]&gt;HoryzontInwestycyjny,0,IF(ZmianaWartościNieruchomości="bez zmian",AG107,IF(ZmianaWartościNieruchomości="inflacyjnie",AG107*(1+Tabela3[[#This Row],[Inflacja3]]),IF(ZmianaWartościNieruchomości="stały %",AG107*(1+Tabela3[[#This Row],[Stały % zmiany warrtości]]),IF(ZmianaWartościNieruchomości="stała kwota",AG107+AF108,AG107)))))</f>
        <v>0</v>
      </c>
      <c r="AH108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08" s="177" cm="1">
        <f t="array" ref="AI108">Tabela3[[#This Row],[Wynik z najmu netto rocznie]]/IF(CzyKredyt="Tak",WydanaGotówka2,WydanaGotówka1)</f>
        <v>0</v>
      </c>
      <c r="AJ108" s="177" cm="1">
        <f t="array" ref="AJ108">Tabela3[[#This Row],[Wynik z najmu netto rocznie]]/IF(CzyKredyt="Tak",SumaKosztówPoczątkowychInwestycji,SumaKosztów)</f>
        <v>0</v>
      </c>
      <c r="AK108" s="155" cm="1">
        <f t="array" ref="AK108">IF(Tabela3[[#This Row],[Rok]]&gt;HoryzontInwestycyjny,0,-IF(CzyKredyt="Tak",WydanaGotówka2,WydanaGotówka1)+Tabela3[[#This Row],[Skumulowany wynik z najmu netto z najmu]])</f>
        <v>0</v>
      </c>
    </row>
    <row r="109" spans="3:37">
      <c r="C109" s="168">
        <v>56</v>
      </c>
      <c r="D109" s="152">
        <f t="shared" si="4"/>
        <v>0.02</v>
      </c>
      <c r="E109" s="152">
        <f t="shared" si="5"/>
        <v>0.04</v>
      </c>
      <c r="F109" s="167">
        <f t="shared" si="6"/>
        <v>150</v>
      </c>
      <c r="G109" s="151">
        <f>IF(Tabela3[[#This Row],[Rok]]&gt;HoryzontInwestycyjny,0,IF(ZmianaOdstępnego="bez zmian",G108,IF(ZmianaOdstępnego="inflacyjnie",G108*(1+Wyniki2!$D109),IF(ZmianaOdstępnego="stały %",G108*(1+Wyniki2!$E109),IF(ZmianaOdstępnego="stała kwota",G108+Wyniki2!$F109,)))))</f>
        <v>0</v>
      </c>
      <c r="H109" s="165">
        <f>IF(Tabela3[[#This Row],[Rok]]&gt;HoryzontInwestycyjny,0,MAX(0, MiesiąceNajmu - MAX(0, MAX(IFERROR(IF(MOD($C109, MałyRemont) = 0,Czas_MałyRemont, 0),0),IFERROR(IF(MOD($C109,DużyRemont) = 0,Czas_DużyRemont, 0),0)) - (12 -MiesiąceNajmu))))</f>
        <v>0</v>
      </c>
      <c r="I109" s="166">
        <f t="shared" si="7"/>
        <v>0</v>
      </c>
      <c r="J109" s="152" t="str">
        <f>IF(Tabela3[[#This Row],[Rok]]&gt;HoryzontInwestycyjny,"",IF(ZmianaKosztów="TAK",Inflacja,0))</f>
        <v/>
      </c>
      <c r="K109" s="172"/>
      <c r="L109" s="172"/>
      <c r="M109" s="172"/>
      <c r="N109" s="171" cm="1">
        <f t="array" ref="N109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09" s="171" cm="1">
        <f t="array" ref="O109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09" s="155" cm="1">
        <f t="array" ref="P109">IF(Tabela3[[#This Row],[Rok]]&gt;HoryzontInwestycyjny,0,IF(12-Tabela3[[#This Row],[Liczba wynajętych miesięcy w roku]]&gt;0, (12-Tabela3[[#This Row],[Liczba wynajętych miesięcy w roku]]) *CzynszWspólnoty* IF(ZmianaKosztów="Tak", PRODUCT(1+J$54:INDEX($J$54:J109, ROWS($D$54:D109)-1)), 1), 0))</f>
        <v>0</v>
      </c>
      <c r="Q109" s="170">
        <f>IF(Tabela3[[#This Row],[Rok]]&gt;HoryzontInwestycyjny,0,SUMIF(Kredyt!$E:$E,Tabela3[[#This Row],[Rok]],Kredyt!$I:$I))</f>
        <v>0</v>
      </c>
      <c r="R109" s="171">
        <f>IF(Tabela3[[#This Row],[Rok]]&gt;HoryzontInwestycyjny,0,SUMIF(Kredyt!$E:$E,Tabela3[[#This Row],[Rok]],Kredyt!$J:$J))</f>
        <v>0</v>
      </c>
      <c r="S109" s="172">
        <f>Tabela3[[#This Row],[Rata kredytu: odsetki]]+Tabela3[[#This Row],[Rata kredytu: kapitał]]</f>
        <v>0</v>
      </c>
      <c r="T109" s="169" cm="1">
        <f t="array" ref="T109">IF(Tabela3[[#This Row],[Rok]]&gt;HoryzontInwestycyjny,0,IFERROR(INDEX(Kredyt!$M:$M,11+Tabela3[[#This Row],[Rok]]*12) * UbezŻyć,""))</f>
        <v>0</v>
      </c>
      <c r="U109" s="155" cm="1">
        <f t="array" ref="U109">IF(Tabela3[[#This Row],[Rok]]&gt;HoryzontInwestycyjny,0,IF(CzasKredytu&gt;=Tabela3[[#This Row],[Rok]],IF(ZmianaKosztów="Tak",UbezMiesz* PRODUCT(1+J109:J109), UbezMiesz),""))</f>
        <v>0</v>
      </c>
      <c r="V109" s="155" cm="1">
        <f t="array" ref="V109">IF(Tabela3[[#This Row],[Rok]]&gt;HoryzontInwestycyjny,0,IF(ZmianaKosztów="Tak", PodatekOdNieruchomości * PRODUCT(1+J$54:J108), PodNie))</f>
        <v>0</v>
      </c>
      <c r="W109" s="155">
        <f>KosztyZarządzania*Tabela3[[#This Row],[Przychody z wynajmu]]</f>
        <v>0</v>
      </c>
      <c r="X109" s="155" cm="1">
        <f t="array" ref="X109">IF(Tabela3[[#This Row],[Rok]]&gt;HoryzontInwestycyjny,0,IF(ZmianaKosztów="Tak", InneKosztyRocznie* PRODUCT(1+J$55:J109), InneKosztyRocznie))</f>
        <v>0</v>
      </c>
      <c r="Y109" s="155">
        <f>SUM(Tabela3[[#This Row],[Cena mieszkania + remont początkowy]:[Inne koszty]])-Tabela3[[#This Row],[Rata kredytu]]</f>
        <v>0</v>
      </c>
      <c r="Z109" s="155">
        <f>IF(Tabela3[[#This Row],[Przychody z wynajmu]]&lt;=100000, Tabela3[[#This Row],[Przychody z wynajmu]]*MałyPodatek, 100000*MałyPodatek + (Tabela3[[#This Row],[Przychody z wynajmu]]-100000)*DużyPodatek)</f>
        <v>0</v>
      </c>
      <c r="AA109" s="155">
        <f>Tabela3[[#This Row],[Wydatki związane z najmem całkowite]]+Tabela3[[#This Row],[Podatek od przychodu]]</f>
        <v>0</v>
      </c>
      <c r="AB109" s="155">
        <f>IF(Tabela3[[#This Row],[Rok]]&gt;HoryzontInwestycyjny,0,Tabela3[[#This Row],[Przychody z wynajmu]]-Tabela3[[#This Row],[Wydatki związane z najmem całkowite]]-Tabela3[[#This Row],[Podatek od przychodu]])</f>
        <v>0</v>
      </c>
      <c r="AC109" s="155">
        <f>IF(Tabela3[[#This Row],[Rok]]&gt;HoryzontInwestycyjny,0,AC108+Tabela3[[#This Row],[Wynik z najmu netto rocznie]])</f>
        <v>0</v>
      </c>
      <c r="AD109" s="176" t="str">
        <f>IF(Tabela3[[#This Row],[Rok]]&gt;HoryzontInwestycyjny,"",IF(ZmianaWartościNieruchomości="Inflacyjnie",Inflacja,0))</f>
        <v/>
      </c>
      <c r="AE109" s="177" t="str">
        <f>IF(Tabela3[[#This Row],[Rok]]&gt;HoryzontInwestycyjny,"",StałyProcentZmianyWartościNieruchomości)</f>
        <v/>
      </c>
      <c r="AF109" s="178" t="str">
        <f>IF(Tabela3[[#This Row],[Rok]]&gt;HoryzontInwestycyjny,"",StałaKwotaZmianyWartościNieruchomości)</f>
        <v/>
      </c>
      <c r="AG109" s="155">
        <f>IF(Tabela3[[#This Row],[Rok]]&gt;HoryzontInwestycyjny,0,IF(ZmianaWartościNieruchomości="bez zmian",AG108,IF(ZmianaWartościNieruchomości="inflacyjnie",AG108*(1+Tabela3[[#This Row],[Inflacja3]]),IF(ZmianaWartościNieruchomości="stały %",AG108*(1+Tabela3[[#This Row],[Stały % zmiany warrtości]]),IF(ZmianaWartościNieruchomości="stała kwota",AG108+AF109,AG108)))))</f>
        <v>0</v>
      </c>
      <c r="AH109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09" s="177" cm="1">
        <f t="array" ref="AI109">Tabela3[[#This Row],[Wynik z najmu netto rocznie]]/IF(CzyKredyt="Tak",WydanaGotówka2,WydanaGotówka1)</f>
        <v>0</v>
      </c>
      <c r="AJ109" s="177" cm="1">
        <f t="array" ref="AJ109">Tabela3[[#This Row],[Wynik z najmu netto rocznie]]/IF(CzyKredyt="Tak",SumaKosztówPoczątkowychInwestycji,SumaKosztów)</f>
        <v>0</v>
      </c>
      <c r="AK109" s="155" cm="1">
        <f t="array" ref="AK109">IF(Tabela3[[#This Row],[Rok]]&gt;HoryzontInwestycyjny,0,-IF(CzyKredyt="Tak",WydanaGotówka2,WydanaGotówka1)+Tabela3[[#This Row],[Skumulowany wynik z najmu netto z najmu]])</f>
        <v>0</v>
      </c>
    </row>
    <row r="110" spans="3:37">
      <c r="C110" s="158">
        <v>57</v>
      </c>
      <c r="D110" s="152">
        <f t="shared" si="4"/>
        <v>0.02</v>
      </c>
      <c r="E110" s="152">
        <f t="shared" si="5"/>
        <v>0.04</v>
      </c>
      <c r="F110" s="167">
        <f t="shared" si="6"/>
        <v>150</v>
      </c>
      <c r="G110" s="151">
        <f>IF(Tabela3[[#This Row],[Rok]]&gt;HoryzontInwestycyjny,0,IF(ZmianaOdstępnego="bez zmian",G109,IF(ZmianaOdstępnego="inflacyjnie",G109*(1+Wyniki2!$D110),IF(ZmianaOdstępnego="stały %",G109*(1+Wyniki2!$E110),IF(ZmianaOdstępnego="stała kwota",G109+Wyniki2!$F110,)))))</f>
        <v>0</v>
      </c>
      <c r="H110" s="165">
        <f>IF(Tabela3[[#This Row],[Rok]]&gt;HoryzontInwestycyjny,0,MAX(0, MiesiąceNajmu - MAX(0, MAX(IFERROR(IF(MOD($C110, MałyRemont) = 0,Czas_MałyRemont, 0),0),IFERROR(IF(MOD($C110,DużyRemont) = 0,Czas_DużyRemont, 0),0)) - (12 -MiesiąceNajmu))))</f>
        <v>0</v>
      </c>
      <c r="I110" s="166">
        <f t="shared" si="7"/>
        <v>0</v>
      </c>
      <c r="J110" s="152" t="str">
        <f>IF(Tabela3[[#This Row],[Rok]]&gt;HoryzontInwestycyjny,"",IF(ZmianaKosztów="TAK",Inflacja,0))</f>
        <v/>
      </c>
      <c r="K110" s="155"/>
      <c r="L110" s="155"/>
      <c r="M110" s="155"/>
      <c r="N110" s="171" cm="1">
        <f t="array" ref="N110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10" s="171" cm="1">
        <f t="array" ref="O110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10" s="155" cm="1">
        <f t="array" ref="P110">IF(Tabela3[[#This Row],[Rok]]&gt;HoryzontInwestycyjny,0,IF(12-Tabela3[[#This Row],[Liczba wynajętych miesięcy w roku]]&gt;0, (12-Tabela3[[#This Row],[Liczba wynajętych miesięcy w roku]]) *CzynszWspólnoty* IF(ZmianaKosztów="Tak", PRODUCT(1+J$54:INDEX($J$54:J110, ROWS($D$54:D110)-1)), 1), 0))</f>
        <v>0</v>
      </c>
      <c r="Q110" s="170">
        <f>IF(Tabela3[[#This Row],[Rok]]&gt;HoryzontInwestycyjny,0,SUMIF(Kredyt!$E:$E,Tabela3[[#This Row],[Rok]],Kredyt!$I:$I))</f>
        <v>0</v>
      </c>
      <c r="R110" s="171">
        <f>IF(Tabela3[[#This Row],[Rok]]&gt;HoryzontInwestycyjny,0,SUMIF(Kredyt!$E:$E,Tabela3[[#This Row],[Rok]],Kredyt!$J:$J))</f>
        <v>0</v>
      </c>
      <c r="S110" s="155">
        <f>Tabela3[[#This Row],[Rata kredytu: odsetki]]+Tabela3[[#This Row],[Rata kredytu: kapitał]]</f>
        <v>0</v>
      </c>
      <c r="T110" s="169" cm="1">
        <f t="array" ref="T110">IF(Tabela3[[#This Row],[Rok]]&gt;HoryzontInwestycyjny,0,IFERROR(INDEX(Kredyt!$M:$M,11+Tabela3[[#This Row],[Rok]]*12) * UbezŻyć,""))</f>
        <v>0</v>
      </c>
      <c r="U110" s="155" cm="1">
        <f t="array" ref="U110">IF(Tabela3[[#This Row],[Rok]]&gt;HoryzontInwestycyjny,0,IF(CzasKredytu&gt;=Tabela3[[#This Row],[Rok]],IF(ZmianaKosztów="Tak",UbezMiesz* PRODUCT(1+J110:J110), UbezMiesz),""))</f>
        <v>0</v>
      </c>
      <c r="V110" s="155" cm="1">
        <f t="array" ref="V110">IF(Tabela3[[#This Row],[Rok]]&gt;HoryzontInwestycyjny,0,IF(ZmianaKosztów="Tak", PodatekOdNieruchomości * PRODUCT(1+J$54:J109), PodNie))</f>
        <v>0</v>
      </c>
      <c r="W110" s="155">
        <f>KosztyZarządzania*Tabela3[[#This Row],[Przychody z wynajmu]]</f>
        <v>0</v>
      </c>
      <c r="X110" s="155" cm="1">
        <f t="array" ref="X110">IF(Tabela3[[#This Row],[Rok]]&gt;HoryzontInwestycyjny,0,IF(ZmianaKosztów="Tak", InneKosztyRocznie* PRODUCT(1+J$55:J110), InneKosztyRocznie))</f>
        <v>0</v>
      </c>
      <c r="Y110" s="155">
        <f>SUM(Tabela3[[#This Row],[Cena mieszkania + remont początkowy]:[Inne koszty]])-Tabela3[[#This Row],[Rata kredytu]]</f>
        <v>0</v>
      </c>
      <c r="Z110" s="155">
        <f>IF(Tabela3[[#This Row],[Przychody z wynajmu]]&lt;=100000, Tabela3[[#This Row],[Przychody z wynajmu]]*MałyPodatek, 100000*MałyPodatek + (Tabela3[[#This Row],[Przychody z wynajmu]]-100000)*DużyPodatek)</f>
        <v>0</v>
      </c>
      <c r="AA110" s="155">
        <f>Tabela3[[#This Row],[Wydatki związane z najmem całkowite]]+Tabela3[[#This Row],[Podatek od przychodu]]</f>
        <v>0</v>
      </c>
      <c r="AB110" s="155">
        <f>IF(Tabela3[[#This Row],[Rok]]&gt;HoryzontInwestycyjny,0,Tabela3[[#This Row],[Przychody z wynajmu]]-Tabela3[[#This Row],[Wydatki związane z najmem całkowite]]-Tabela3[[#This Row],[Podatek od przychodu]])</f>
        <v>0</v>
      </c>
      <c r="AC110" s="155">
        <f>IF(Tabela3[[#This Row],[Rok]]&gt;HoryzontInwestycyjny,0,AC109+Tabela3[[#This Row],[Wynik z najmu netto rocznie]])</f>
        <v>0</v>
      </c>
      <c r="AD110" s="176" t="str">
        <f>IF(Tabela3[[#This Row],[Rok]]&gt;HoryzontInwestycyjny,"",IF(ZmianaWartościNieruchomości="Inflacyjnie",Inflacja,0))</f>
        <v/>
      </c>
      <c r="AE110" s="177" t="str">
        <f>IF(Tabela3[[#This Row],[Rok]]&gt;HoryzontInwestycyjny,"",StałyProcentZmianyWartościNieruchomości)</f>
        <v/>
      </c>
      <c r="AF110" s="178" t="str">
        <f>IF(Tabela3[[#This Row],[Rok]]&gt;HoryzontInwestycyjny,"",StałaKwotaZmianyWartościNieruchomości)</f>
        <v/>
      </c>
      <c r="AG110" s="155">
        <f>IF(Tabela3[[#This Row],[Rok]]&gt;HoryzontInwestycyjny,0,IF(ZmianaWartościNieruchomości="bez zmian",AG109,IF(ZmianaWartościNieruchomości="inflacyjnie",AG109*(1+Tabela3[[#This Row],[Inflacja3]]),IF(ZmianaWartościNieruchomości="stały %",AG109*(1+Tabela3[[#This Row],[Stały % zmiany warrtości]]),IF(ZmianaWartościNieruchomości="stała kwota",AG109+AF110,AG109)))))</f>
        <v>0</v>
      </c>
      <c r="AH110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10" s="177" cm="1">
        <f t="array" ref="AI110">Tabela3[[#This Row],[Wynik z najmu netto rocznie]]/IF(CzyKredyt="Tak",WydanaGotówka2,WydanaGotówka1)</f>
        <v>0</v>
      </c>
      <c r="AJ110" s="177" cm="1">
        <f t="array" ref="AJ110">Tabela3[[#This Row],[Wynik z najmu netto rocznie]]/IF(CzyKredyt="Tak",SumaKosztówPoczątkowychInwestycji,SumaKosztów)</f>
        <v>0</v>
      </c>
      <c r="AK110" s="155" cm="1">
        <f t="array" ref="AK110">IF(Tabela3[[#This Row],[Rok]]&gt;HoryzontInwestycyjny,0,-IF(CzyKredyt="Tak",WydanaGotówka2,WydanaGotówka1)+Tabela3[[#This Row],[Skumulowany wynik z najmu netto z najmu]])</f>
        <v>0</v>
      </c>
    </row>
    <row r="111" spans="3:37">
      <c r="C111" s="168">
        <v>58</v>
      </c>
      <c r="D111" s="152">
        <f t="shared" si="4"/>
        <v>0.02</v>
      </c>
      <c r="E111" s="152">
        <f t="shared" si="5"/>
        <v>0.04</v>
      </c>
      <c r="F111" s="167">
        <f t="shared" si="6"/>
        <v>150</v>
      </c>
      <c r="G111" s="151">
        <f>IF(Tabela3[[#This Row],[Rok]]&gt;HoryzontInwestycyjny,0,IF(ZmianaOdstępnego="bez zmian",G110,IF(ZmianaOdstępnego="inflacyjnie",G110*(1+Wyniki2!$D111),IF(ZmianaOdstępnego="stały %",G110*(1+Wyniki2!$E111),IF(ZmianaOdstępnego="stała kwota",G110+Wyniki2!$F111,)))))</f>
        <v>0</v>
      </c>
      <c r="H111" s="165">
        <f>IF(Tabela3[[#This Row],[Rok]]&gt;HoryzontInwestycyjny,0,MAX(0, MiesiąceNajmu - MAX(0, MAX(IFERROR(IF(MOD($C111, MałyRemont) = 0,Czas_MałyRemont, 0),0),IFERROR(IF(MOD($C111,DużyRemont) = 0,Czas_DużyRemont, 0),0)) - (12 -MiesiąceNajmu))))</f>
        <v>0</v>
      </c>
      <c r="I111" s="166">
        <f t="shared" si="7"/>
        <v>0</v>
      </c>
      <c r="J111" s="152" t="str">
        <f>IF(Tabela3[[#This Row],[Rok]]&gt;HoryzontInwestycyjny,"",IF(ZmianaKosztów="TAK",Inflacja,0))</f>
        <v/>
      </c>
      <c r="K111" s="172"/>
      <c r="L111" s="172"/>
      <c r="M111" s="172"/>
      <c r="N111" s="171" cm="1">
        <f t="array" ref="N111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11" s="171" cm="1">
        <f t="array" ref="O111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11" s="155" cm="1">
        <f t="array" ref="P111">IF(Tabela3[[#This Row],[Rok]]&gt;HoryzontInwestycyjny,0,IF(12-Tabela3[[#This Row],[Liczba wynajętych miesięcy w roku]]&gt;0, (12-Tabela3[[#This Row],[Liczba wynajętych miesięcy w roku]]) *CzynszWspólnoty* IF(ZmianaKosztów="Tak", PRODUCT(1+J$54:INDEX($J$54:J111, ROWS($D$54:D111)-1)), 1), 0))</f>
        <v>0</v>
      </c>
      <c r="Q111" s="170">
        <f>IF(Tabela3[[#This Row],[Rok]]&gt;HoryzontInwestycyjny,0,SUMIF(Kredyt!$E:$E,Tabela3[[#This Row],[Rok]],Kredyt!$I:$I))</f>
        <v>0</v>
      </c>
      <c r="R111" s="171">
        <f>IF(Tabela3[[#This Row],[Rok]]&gt;HoryzontInwestycyjny,0,SUMIF(Kredyt!$E:$E,Tabela3[[#This Row],[Rok]],Kredyt!$J:$J))</f>
        <v>0</v>
      </c>
      <c r="S111" s="172">
        <f>Tabela3[[#This Row],[Rata kredytu: odsetki]]+Tabela3[[#This Row],[Rata kredytu: kapitał]]</f>
        <v>0</v>
      </c>
      <c r="T111" s="169" cm="1">
        <f t="array" ref="T111">IF(Tabela3[[#This Row],[Rok]]&gt;HoryzontInwestycyjny,0,IFERROR(INDEX(Kredyt!$M:$M,11+Tabela3[[#This Row],[Rok]]*12) * UbezŻyć,""))</f>
        <v>0</v>
      </c>
      <c r="U111" s="155" cm="1">
        <f t="array" ref="U111">IF(Tabela3[[#This Row],[Rok]]&gt;HoryzontInwestycyjny,0,IF(CzasKredytu&gt;=Tabela3[[#This Row],[Rok]],IF(ZmianaKosztów="Tak",UbezMiesz* PRODUCT(1+J111:J111), UbezMiesz),""))</f>
        <v>0</v>
      </c>
      <c r="V111" s="155" cm="1">
        <f t="array" ref="V111">IF(Tabela3[[#This Row],[Rok]]&gt;HoryzontInwestycyjny,0,IF(ZmianaKosztów="Tak", PodatekOdNieruchomości * PRODUCT(1+J$54:J110), PodNie))</f>
        <v>0</v>
      </c>
      <c r="W111" s="155">
        <f>KosztyZarządzania*Tabela3[[#This Row],[Przychody z wynajmu]]</f>
        <v>0</v>
      </c>
      <c r="X111" s="155" cm="1">
        <f t="array" ref="X111">IF(Tabela3[[#This Row],[Rok]]&gt;HoryzontInwestycyjny,0,IF(ZmianaKosztów="Tak", InneKosztyRocznie* PRODUCT(1+J$55:J111), InneKosztyRocznie))</f>
        <v>0</v>
      </c>
      <c r="Y111" s="155">
        <f>SUM(Tabela3[[#This Row],[Cena mieszkania + remont początkowy]:[Inne koszty]])-Tabela3[[#This Row],[Rata kredytu]]</f>
        <v>0</v>
      </c>
      <c r="Z111" s="155">
        <f>IF(Tabela3[[#This Row],[Przychody z wynajmu]]&lt;=100000, Tabela3[[#This Row],[Przychody z wynajmu]]*MałyPodatek, 100000*MałyPodatek + (Tabela3[[#This Row],[Przychody z wynajmu]]-100000)*DużyPodatek)</f>
        <v>0</v>
      </c>
      <c r="AA111" s="155">
        <f>Tabela3[[#This Row],[Wydatki związane z najmem całkowite]]+Tabela3[[#This Row],[Podatek od przychodu]]</f>
        <v>0</v>
      </c>
      <c r="AB111" s="155">
        <f>IF(Tabela3[[#This Row],[Rok]]&gt;HoryzontInwestycyjny,0,Tabela3[[#This Row],[Przychody z wynajmu]]-Tabela3[[#This Row],[Wydatki związane z najmem całkowite]]-Tabela3[[#This Row],[Podatek od przychodu]])</f>
        <v>0</v>
      </c>
      <c r="AC111" s="155">
        <f>IF(Tabela3[[#This Row],[Rok]]&gt;HoryzontInwestycyjny,0,AC110+Tabela3[[#This Row],[Wynik z najmu netto rocznie]])</f>
        <v>0</v>
      </c>
      <c r="AD111" s="176" t="str">
        <f>IF(Tabela3[[#This Row],[Rok]]&gt;HoryzontInwestycyjny,"",IF(ZmianaWartościNieruchomości="Inflacyjnie",Inflacja,0))</f>
        <v/>
      </c>
      <c r="AE111" s="177" t="str">
        <f>IF(Tabela3[[#This Row],[Rok]]&gt;HoryzontInwestycyjny,"",StałyProcentZmianyWartościNieruchomości)</f>
        <v/>
      </c>
      <c r="AF111" s="178" t="str">
        <f>IF(Tabela3[[#This Row],[Rok]]&gt;HoryzontInwestycyjny,"",StałaKwotaZmianyWartościNieruchomości)</f>
        <v/>
      </c>
      <c r="AG111" s="155">
        <f>IF(Tabela3[[#This Row],[Rok]]&gt;HoryzontInwestycyjny,0,IF(ZmianaWartościNieruchomości="bez zmian",AG110,IF(ZmianaWartościNieruchomości="inflacyjnie",AG110*(1+Tabela3[[#This Row],[Inflacja3]]),IF(ZmianaWartościNieruchomości="stały %",AG110*(1+Tabela3[[#This Row],[Stały % zmiany warrtości]]),IF(ZmianaWartościNieruchomości="stała kwota",AG110+AF111,AG110)))))</f>
        <v>0</v>
      </c>
      <c r="AH111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11" s="177" cm="1">
        <f t="array" ref="AI111">Tabela3[[#This Row],[Wynik z najmu netto rocznie]]/IF(CzyKredyt="Tak",WydanaGotówka2,WydanaGotówka1)</f>
        <v>0</v>
      </c>
      <c r="AJ111" s="177" cm="1">
        <f t="array" ref="AJ111">Tabela3[[#This Row],[Wynik z najmu netto rocznie]]/IF(CzyKredyt="Tak",SumaKosztówPoczątkowychInwestycji,SumaKosztów)</f>
        <v>0</v>
      </c>
      <c r="AK111" s="155" cm="1">
        <f t="array" ref="AK111">IF(Tabela3[[#This Row],[Rok]]&gt;HoryzontInwestycyjny,0,-IF(CzyKredyt="Tak",WydanaGotówka2,WydanaGotówka1)+Tabela3[[#This Row],[Skumulowany wynik z najmu netto z najmu]])</f>
        <v>0</v>
      </c>
    </row>
    <row r="112" spans="3:37">
      <c r="C112" s="158">
        <v>59</v>
      </c>
      <c r="D112" s="152">
        <f t="shared" si="4"/>
        <v>0.02</v>
      </c>
      <c r="E112" s="152">
        <f t="shared" si="5"/>
        <v>0.04</v>
      </c>
      <c r="F112" s="167">
        <f t="shared" si="6"/>
        <v>150</v>
      </c>
      <c r="G112" s="151">
        <f>IF(Tabela3[[#This Row],[Rok]]&gt;HoryzontInwestycyjny,0,IF(ZmianaOdstępnego="bez zmian",G111,IF(ZmianaOdstępnego="inflacyjnie",G111*(1+Wyniki2!$D112),IF(ZmianaOdstępnego="stały %",G111*(1+Wyniki2!$E112),IF(ZmianaOdstępnego="stała kwota",G111+Wyniki2!$F112,)))))</f>
        <v>0</v>
      </c>
      <c r="H112" s="165">
        <f>IF(Tabela3[[#This Row],[Rok]]&gt;HoryzontInwestycyjny,0,MAX(0, MiesiąceNajmu - MAX(0, MAX(IFERROR(IF(MOD($C112, MałyRemont) = 0,Czas_MałyRemont, 0),0),IFERROR(IF(MOD($C112,DużyRemont) = 0,Czas_DużyRemont, 0),0)) - (12 -MiesiąceNajmu))))</f>
        <v>0</v>
      </c>
      <c r="I112" s="166">
        <f t="shared" si="7"/>
        <v>0</v>
      </c>
      <c r="J112" s="152" t="str">
        <f>IF(Tabela3[[#This Row],[Rok]]&gt;HoryzontInwestycyjny,"",IF(ZmianaKosztów="TAK",Inflacja,0))</f>
        <v/>
      </c>
      <c r="K112" s="155"/>
      <c r="L112" s="155"/>
      <c r="M112" s="155"/>
      <c r="N112" s="171" cm="1">
        <f t="array" ref="N112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12" s="171" cm="1">
        <f t="array" ref="O112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12" s="155" cm="1">
        <f t="array" ref="P112">IF(Tabela3[[#This Row],[Rok]]&gt;HoryzontInwestycyjny,0,IF(12-Tabela3[[#This Row],[Liczba wynajętych miesięcy w roku]]&gt;0, (12-Tabela3[[#This Row],[Liczba wynajętych miesięcy w roku]]) *CzynszWspólnoty* IF(ZmianaKosztów="Tak", PRODUCT(1+J$54:INDEX($J$54:J112, ROWS($D$54:D112)-1)), 1), 0))</f>
        <v>0</v>
      </c>
      <c r="Q112" s="170">
        <f>IF(Tabela3[[#This Row],[Rok]]&gt;HoryzontInwestycyjny,0,SUMIF(Kredyt!$E:$E,Tabela3[[#This Row],[Rok]],Kredyt!$I:$I))</f>
        <v>0</v>
      </c>
      <c r="R112" s="171">
        <f>IF(Tabela3[[#This Row],[Rok]]&gt;HoryzontInwestycyjny,0,SUMIF(Kredyt!$E:$E,Tabela3[[#This Row],[Rok]],Kredyt!$J:$J))</f>
        <v>0</v>
      </c>
      <c r="S112" s="155">
        <f>Tabela3[[#This Row],[Rata kredytu: odsetki]]+Tabela3[[#This Row],[Rata kredytu: kapitał]]</f>
        <v>0</v>
      </c>
      <c r="T112" s="169" cm="1">
        <f t="array" ref="T112">IF(Tabela3[[#This Row],[Rok]]&gt;HoryzontInwestycyjny,0,IFERROR(INDEX(Kredyt!$M:$M,11+Tabela3[[#This Row],[Rok]]*12) * UbezŻyć,""))</f>
        <v>0</v>
      </c>
      <c r="U112" s="155" cm="1">
        <f t="array" ref="U112">IF(Tabela3[[#This Row],[Rok]]&gt;HoryzontInwestycyjny,0,IF(CzasKredytu&gt;=Tabela3[[#This Row],[Rok]],IF(ZmianaKosztów="Tak",UbezMiesz* PRODUCT(1+J112:J112), UbezMiesz),""))</f>
        <v>0</v>
      </c>
      <c r="V112" s="155" cm="1">
        <f t="array" ref="V112">IF(Tabela3[[#This Row],[Rok]]&gt;HoryzontInwestycyjny,0,IF(ZmianaKosztów="Tak", PodatekOdNieruchomości * PRODUCT(1+J$54:J111), PodNie))</f>
        <v>0</v>
      </c>
      <c r="W112" s="155">
        <f>KosztyZarządzania*Tabela3[[#This Row],[Przychody z wynajmu]]</f>
        <v>0</v>
      </c>
      <c r="X112" s="155" cm="1">
        <f t="array" ref="X112">IF(Tabela3[[#This Row],[Rok]]&gt;HoryzontInwestycyjny,0,IF(ZmianaKosztów="Tak", InneKosztyRocznie* PRODUCT(1+J$55:J112), InneKosztyRocznie))</f>
        <v>0</v>
      </c>
      <c r="Y112" s="155">
        <f>SUM(Tabela3[[#This Row],[Cena mieszkania + remont początkowy]:[Inne koszty]])-Tabela3[[#This Row],[Rata kredytu]]</f>
        <v>0</v>
      </c>
      <c r="Z112" s="155">
        <f>IF(Tabela3[[#This Row],[Przychody z wynajmu]]&lt;=100000, Tabela3[[#This Row],[Przychody z wynajmu]]*MałyPodatek, 100000*MałyPodatek + (Tabela3[[#This Row],[Przychody z wynajmu]]-100000)*DużyPodatek)</f>
        <v>0</v>
      </c>
      <c r="AA112" s="155">
        <f>Tabela3[[#This Row],[Wydatki związane z najmem całkowite]]+Tabela3[[#This Row],[Podatek od przychodu]]</f>
        <v>0</v>
      </c>
      <c r="AB112" s="155">
        <f>IF(Tabela3[[#This Row],[Rok]]&gt;HoryzontInwestycyjny,0,Tabela3[[#This Row],[Przychody z wynajmu]]-Tabela3[[#This Row],[Wydatki związane z najmem całkowite]]-Tabela3[[#This Row],[Podatek od przychodu]])</f>
        <v>0</v>
      </c>
      <c r="AC112" s="155">
        <f>IF(Tabela3[[#This Row],[Rok]]&gt;HoryzontInwestycyjny,0,AC111+Tabela3[[#This Row],[Wynik z najmu netto rocznie]])</f>
        <v>0</v>
      </c>
      <c r="AD112" s="176" t="str">
        <f>IF(Tabela3[[#This Row],[Rok]]&gt;HoryzontInwestycyjny,"",IF(ZmianaWartościNieruchomości="Inflacyjnie",Inflacja,0))</f>
        <v/>
      </c>
      <c r="AE112" s="177" t="str">
        <f>IF(Tabela3[[#This Row],[Rok]]&gt;HoryzontInwestycyjny,"",StałyProcentZmianyWartościNieruchomości)</f>
        <v/>
      </c>
      <c r="AF112" s="178" t="str">
        <f>IF(Tabela3[[#This Row],[Rok]]&gt;HoryzontInwestycyjny,"",StałaKwotaZmianyWartościNieruchomości)</f>
        <v/>
      </c>
      <c r="AG112" s="155">
        <f>IF(Tabela3[[#This Row],[Rok]]&gt;HoryzontInwestycyjny,0,IF(ZmianaWartościNieruchomości="bez zmian",AG111,IF(ZmianaWartościNieruchomości="inflacyjnie",AG111*(1+Tabela3[[#This Row],[Inflacja3]]),IF(ZmianaWartościNieruchomości="stały %",AG111*(1+Tabela3[[#This Row],[Stały % zmiany warrtości]]),IF(ZmianaWartościNieruchomości="stała kwota",AG111+AF112,AG111)))))</f>
        <v>0</v>
      </c>
      <c r="AH112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12" s="177" cm="1">
        <f t="array" ref="AI112">Tabela3[[#This Row],[Wynik z najmu netto rocznie]]/IF(CzyKredyt="Tak",WydanaGotówka2,WydanaGotówka1)</f>
        <v>0</v>
      </c>
      <c r="AJ112" s="177" cm="1">
        <f t="array" ref="AJ112">Tabela3[[#This Row],[Wynik z najmu netto rocznie]]/IF(CzyKredyt="Tak",SumaKosztówPoczątkowychInwestycji,SumaKosztów)</f>
        <v>0</v>
      </c>
      <c r="AK112" s="155" cm="1">
        <f t="array" ref="AK112">IF(Tabela3[[#This Row],[Rok]]&gt;HoryzontInwestycyjny,0,-IF(CzyKredyt="Tak",WydanaGotówka2,WydanaGotówka1)+Tabela3[[#This Row],[Skumulowany wynik z najmu netto z najmu]])</f>
        <v>0</v>
      </c>
    </row>
    <row r="113" spans="3:37">
      <c r="C113" s="168">
        <v>60</v>
      </c>
      <c r="D113" s="152">
        <f t="shared" si="4"/>
        <v>0.02</v>
      </c>
      <c r="E113" s="152">
        <f t="shared" si="5"/>
        <v>0.04</v>
      </c>
      <c r="F113" s="167">
        <f t="shared" si="6"/>
        <v>150</v>
      </c>
      <c r="G113" s="151">
        <f>IF(Tabela3[[#This Row],[Rok]]&gt;HoryzontInwestycyjny,0,IF(ZmianaOdstępnego="bez zmian",G112,IF(ZmianaOdstępnego="inflacyjnie",G112*(1+Wyniki2!$D113),IF(ZmianaOdstępnego="stały %",G112*(1+Wyniki2!$E113),IF(ZmianaOdstępnego="stała kwota",G112+Wyniki2!$F113,)))))</f>
        <v>0</v>
      </c>
      <c r="H113" s="165">
        <f>IF(Tabela3[[#This Row],[Rok]]&gt;HoryzontInwestycyjny,0,MAX(0, MiesiąceNajmu - MAX(0, MAX(IFERROR(IF(MOD($C113, MałyRemont) = 0,Czas_MałyRemont, 0),0),IFERROR(IF(MOD($C113,DużyRemont) = 0,Czas_DużyRemont, 0),0)) - (12 -MiesiąceNajmu))))</f>
        <v>0</v>
      </c>
      <c r="I113" s="166">
        <f t="shared" si="7"/>
        <v>0</v>
      </c>
      <c r="J113" s="152" t="str">
        <f>IF(Tabela3[[#This Row],[Rok]]&gt;HoryzontInwestycyjny,"",IF(ZmianaKosztów="TAK",Inflacja,0))</f>
        <v/>
      </c>
      <c r="K113" s="172"/>
      <c r="L113" s="172"/>
      <c r="M113" s="172"/>
      <c r="N113" s="171" cm="1">
        <f t="array" ref="N113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13" s="171" cm="1">
        <f t="array" ref="O113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13" s="155" cm="1">
        <f t="array" ref="P113">IF(Tabela3[[#This Row],[Rok]]&gt;HoryzontInwestycyjny,0,IF(12-Tabela3[[#This Row],[Liczba wynajętych miesięcy w roku]]&gt;0, (12-Tabela3[[#This Row],[Liczba wynajętych miesięcy w roku]]) *CzynszWspólnoty* IF(ZmianaKosztów="Tak", PRODUCT(1+J$54:INDEX($J$54:J113, ROWS($D$54:D113)-1)), 1), 0))</f>
        <v>0</v>
      </c>
      <c r="Q113" s="170">
        <f>IF(Tabela3[[#This Row],[Rok]]&gt;HoryzontInwestycyjny,0,SUMIF(Kredyt!$E:$E,Tabela3[[#This Row],[Rok]],Kredyt!$I:$I))</f>
        <v>0</v>
      </c>
      <c r="R113" s="171">
        <f>IF(Tabela3[[#This Row],[Rok]]&gt;HoryzontInwestycyjny,0,SUMIF(Kredyt!$E:$E,Tabela3[[#This Row],[Rok]],Kredyt!$J:$J))</f>
        <v>0</v>
      </c>
      <c r="S113" s="172">
        <f>Tabela3[[#This Row],[Rata kredytu: odsetki]]+Tabela3[[#This Row],[Rata kredytu: kapitał]]</f>
        <v>0</v>
      </c>
      <c r="T113" s="169" cm="1">
        <f t="array" ref="T113">IF(Tabela3[[#This Row],[Rok]]&gt;HoryzontInwestycyjny,0,IFERROR(INDEX(Kredyt!$M:$M,11+Tabela3[[#This Row],[Rok]]*12) * UbezŻyć,""))</f>
        <v>0</v>
      </c>
      <c r="U113" s="155" cm="1">
        <f t="array" ref="U113">IF(Tabela3[[#This Row],[Rok]]&gt;HoryzontInwestycyjny,0,IF(CzasKredytu&gt;=Tabela3[[#This Row],[Rok]],IF(ZmianaKosztów="Tak",UbezMiesz* PRODUCT(1+J113:J113), UbezMiesz),""))</f>
        <v>0</v>
      </c>
      <c r="V113" s="155" cm="1">
        <f t="array" ref="V113">IF(Tabela3[[#This Row],[Rok]]&gt;HoryzontInwestycyjny,0,IF(ZmianaKosztów="Tak", PodatekOdNieruchomości * PRODUCT(1+J$54:J112), PodNie))</f>
        <v>0</v>
      </c>
      <c r="W113" s="155">
        <f>KosztyZarządzania*Tabela3[[#This Row],[Przychody z wynajmu]]</f>
        <v>0</v>
      </c>
      <c r="X113" s="155" cm="1">
        <f t="array" ref="X113">IF(Tabela3[[#This Row],[Rok]]&gt;HoryzontInwestycyjny,0,IF(ZmianaKosztów="Tak", InneKosztyRocznie* PRODUCT(1+J$55:J113), InneKosztyRocznie))</f>
        <v>0</v>
      </c>
      <c r="Y113" s="155">
        <f>SUM(Tabela3[[#This Row],[Cena mieszkania + remont początkowy]:[Inne koszty]])-Tabela3[[#This Row],[Rata kredytu]]</f>
        <v>0</v>
      </c>
      <c r="Z113" s="155">
        <f>IF(Tabela3[[#This Row],[Przychody z wynajmu]]&lt;=100000, Tabela3[[#This Row],[Przychody z wynajmu]]*MałyPodatek, 100000*MałyPodatek + (Tabela3[[#This Row],[Przychody z wynajmu]]-100000)*DużyPodatek)</f>
        <v>0</v>
      </c>
      <c r="AA113" s="155">
        <f>Tabela3[[#This Row],[Wydatki związane z najmem całkowite]]+Tabela3[[#This Row],[Podatek od przychodu]]</f>
        <v>0</v>
      </c>
      <c r="AB113" s="155">
        <f>IF(Tabela3[[#This Row],[Rok]]&gt;HoryzontInwestycyjny,0,Tabela3[[#This Row],[Przychody z wynajmu]]-Tabela3[[#This Row],[Wydatki związane z najmem całkowite]]-Tabela3[[#This Row],[Podatek od przychodu]])</f>
        <v>0</v>
      </c>
      <c r="AC113" s="155">
        <f>IF(Tabela3[[#This Row],[Rok]]&gt;HoryzontInwestycyjny,0,AC112+Tabela3[[#This Row],[Wynik z najmu netto rocznie]])</f>
        <v>0</v>
      </c>
      <c r="AD113" s="176" t="str">
        <f>IF(Tabela3[[#This Row],[Rok]]&gt;HoryzontInwestycyjny,"",IF(ZmianaWartościNieruchomości="Inflacyjnie",Inflacja,0))</f>
        <v/>
      </c>
      <c r="AE113" s="177" t="str">
        <f>IF(Tabela3[[#This Row],[Rok]]&gt;HoryzontInwestycyjny,"",StałyProcentZmianyWartościNieruchomości)</f>
        <v/>
      </c>
      <c r="AF113" s="178" t="str">
        <f>IF(Tabela3[[#This Row],[Rok]]&gt;HoryzontInwestycyjny,"",StałaKwotaZmianyWartościNieruchomości)</f>
        <v/>
      </c>
      <c r="AG113" s="155">
        <f>IF(Tabela3[[#This Row],[Rok]]&gt;HoryzontInwestycyjny,0,IF(ZmianaWartościNieruchomości="bez zmian",AG112,IF(ZmianaWartościNieruchomości="inflacyjnie",AG112*(1+Tabela3[[#This Row],[Inflacja3]]),IF(ZmianaWartościNieruchomości="stały %",AG112*(1+Tabela3[[#This Row],[Stały % zmiany warrtości]]),IF(ZmianaWartościNieruchomości="stała kwota",AG112+AF113,AG112)))))</f>
        <v>0</v>
      </c>
      <c r="AH113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13" s="177" cm="1">
        <f t="array" ref="AI113">Tabela3[[#This Row],[Wynik z najmu netto rocznie]]/IF(CzyKredyt="Tak",WydanaGotówka2,WydanaGotówka1)</f>
        <v>0</v>
      </c>
      <c r="AJ113" s="177" cm="1">
        <f t="array" ref="AJ113">Tabela3[[#This Row],[Wynik z najmu netto rocznie]]/IF(CzyKredyt="Tak",SumaKosztówPoczątkowychInwestycji,SumaKosztów)</f>
        <v>0</v>
      </c>
      <c r="AK113" s="155" cm="1">
        <f t="array" ref="AK113">IF(Tabela3[[#This Row],[Rok]]&gt;HoryzontInwestycyjny,0,-IF(CzyKredyt="Tak",WydanaGotówka2,WydanaGotówka1)+Tabela3[[#This Row],[Skumulowany wynik z najmu netto z najmu]])</f>
        <v>0</v>
      </c>
    </row>
    <row r="114" spans="3:37">
      <c r="C114" s="158">
        <v>61</v>
      </c>
      <c r="D114" s="152">
        <f t="shared" si="4"/>
        <v>0.02</v>
      </c>
      <c r="E114" s="152">
        <f t="shared" si="5"/>
        <v>0.04</v>
      </c>
      <c r="F114" s="167">
        <f t="shared" si="6"/>
        <v>150</v>
      </c>
      <c r="G114" s="151">
        <f>IF(Tabela3[[#This Row],[Rok]]&gt;HoryzontInwestycyjny,0,IF(ZmianaOdstępnego="bez zmian",G113,IF(ZmianaOdstępnego="inflacyjnie",G113*(1+Wyniki2!$D114),IF(ZmianaOdstępnego="stały %",G113*(1+Wyniki2!$E114),IF(ZmianaOdstępnego="stała kwota",G113+Wyniki2!$F114,)))))</f>
        <v>0</v>
      </c>
      <c r="H114" s="165">
        <f>IF(Tabela3[[#This Row],[Rok]]&gt;HoryzontInwestycyjny,0,MAX(0, MiesiąceNajmu - MAX(0, MAX(IFERROR(IF(MOD($C114, MałyRemont) = 0,Czas_MałyRemont, 0),0),IFERROR(IF(MOD($C114,DużyRemont) = 0,Czas_DużyRemont, 0),0)) - (12 -MiesiąceNajmu))))</f>
        <v>0</v>
      </c>
      <c r="I114" s="166">
        <f t="shared" si="7"/>
        <v>0</v>
      </c>
      <c r="J114" s="152" t="str">
        <f>IF(Tabela3[[#This Row],[Rok]]&gt;HoryzontInwestycyjny,"",IF(ZmianaKosztów="TAK",Inflacja,0))</f>
        <v/>
      </c>
      <c r="K114" s="155"/>
      <c r="L114" s="155"/>
      <c r="M114" s="155"/>
      <c r="N114" s="171" cm="1">
        <f t="array" ref="N114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14" s="171" cm="1">
        <f t="array" ref="O114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14" s="155" cm="1">
        <f t="array" ref="P114">IF(Tabela3[[#This Row],[Rok]]&gt;HoryzontInwestycyjny,0,IF(12-Tabela3[[#This Row],[Liczba wynajętych miesięcy w roku]]&gt;0, (12-Tabela3[[#This Row],[Liczba wynajętych miesięcy w roku]]) *CzynszWspólnoty* IF(ZmianaKosztów="Tak", PRODUCT(1+J$54:INDEX($J$54:J114, ROWS($D$54:D114)-1)), 1), 0))</f>
        <v>0</v>
      </c>
      <c r="Q114" s="170">
        <f>IF(Tabela3[[#This Row],[Rok]]&gt;HoryzontInwestycyjny,0,SUMIF(Kredyt!$E:$E,Tabela3[[#This Row],[Rok]],Kredyt!$I:$I))</f>
        <v>0</v>
      </c>
      <c r="R114" s="171">
        <f>IF(Tabela3[[#This Row],[Rok]]&gt;HoryzontInwestycyjny,0,SUMIF(Kredyt!$E:$E,Tabela3[[#This Row],[Rok]],Kredyt!$J:$J))</f>
        <v>0</v>
      </c>
      <c r="S114" s="155">
        <f>Tabela3[[#This Row],[Rata kredytu: odsetki]]+Tabela3[[#This Row],[Rata kredytu: kapitał]]</f>
        <v>0</v>
      </c>
      <c r="T114" s="169" cm="1">
        <f t="array" ref="T114">IF(Tabela3[[#This Row],[Rok]]&gt;HoryzontInwestycyjny,0,IFERROR(INDEX(Kredyt!$M:$M,11+Tabela3[[#This Row],[Rok]]*12) * UbezŻyć,""))</f>
        <v>0</v>
      </c>
      <c r="U114" s="155" cm="1">
        <f t="array" ref="U114">IF(Tabela3[[#This Row],[Rok]]&gt;HoryzontInwestycyjny,0,IF(CzasKredytu&gt;=Tabela3[[#This Row],[Rok]],IF(ZmianaKosztów="Tak",UbezMiesz* PRODUCT(1+J114:J114), UbezMiesz),""))</f>
        <v>0</v>
      </c>
      <c r="V114" s="155" cm="1">
        <f t="array" ref="V114">IF(Tabela3[[#This Row],[Rok]]&gt;HoryzontInwestycyjny,0,IF(ZmianaKosztów="Tak", PodatekOdNieruchomości * PRODUCT(1+J$54:J113), PodNie))</f>
        <v>0</v>
      </c>
      <c r="W114" s="155">
        <f>KosztyZarządzania*Tabela3[[#This Row],[Przychody z wynajmu]]</f>
        <v>0</v>
      </c>
      <c r="X114" s="155" cm="1">
        <f t="array" ref="X114">IF(Tabela3[[#This Row],[Rok]]&gt;HoryzontInwestycyjny,0,IF(ZmianaKosztów="Tak", InneKosztyRocznie* PRODUCT(1+J$55:J114), InneKosztyRocznie))</f>
        <v>0</v>
      </c>
      <c r="Y114" s="155">
        <f>SUM(Tabela3[[#This Row],[Cena mieszkania + remont początkowy]:[Inne koszty]])-Tabela3[[#This Row],[Rata kredytu]]</f>
        <v>0</v>
      </c>
      <c r="Z114" s="155">
        <f>IF(Tabela3[[#This Row],[Przychody z wynajmu]]&lt;=100000, Tabela3[[#This Row],[Przychody z wynajmu]]*MałyPodatek, 100000*MałyPodatek + (Tabela3[[#This Row],[Przychody z wynajmu]]-100000)*DużyPodatek)</f>
        <v>0</v>
      </c>
      <c r="AA114" s="155">
        <f>Tabela3[[#This Row],[Wydatki związane z najmem całkowite]]+Tabela3[[#This Row],[Podatek od przychodu]]</f>
        <v>0</v>
      </c>
      <c r="AB114" s="155">
        <f>IF(Tabela3[[#This Row],[Rok]]&gt;HoryzontInwestycyjny,0,Tabela3[[#This Row],[Przychody z wynajmu]]-Tabela3[[#This Row],[Wydatki związane z najmem całkowite]]-Tabela3[[#This Row],[Podatek od przychodu]])</f>
        <v>0</v>
      </c>
      <c r="AC114" s="155">
        <f>IF(Tabela3[[#This Row],[Rok]]&gt;HoryzontInwestycyjny,0,AC113+Tabela3[[#This Row],[Wynik z najmu netto rocznie]])</f>
        <v>0</v>
      </c>
      <c r="AD114" s="176" t="str">
        <f>IF(Tabela3[[#This Row],[Rok]]&gt;HoryzontInwestycyjny,"",IF(ZmianaWartościNieruchomości="Inflacyjnie",Inflacja,0))</f>
        <v/>
      </c>
      <c r="AE114" s="177" t="str">
        <f>IF(Tabela3[[#This Row],[Rok]]&gt;HoryzontInwestycyjny,"",StałyProcentZmianyWartościNieruchomości)</f>
        <v/>
      </c>
      <c r="AF114" s="178" t="str">
        <f>IF(Tabela3[[#This Row],[Rok]]&gt;HoryzontInwestycyjny,"",StałaKwotaZmianyWartościNieruchomości)</f>
        <v/>
      </c>
      <c r="AG114" s="155">
        <f>IF(Tabela3[[#This Row],[Rok]]&gt;HoryzontInwestycyjny,0,IF(ZmianaWartościNieruchomości="bez zmian",AG113,IF(ZmianaWartościNieruchomości="inflacyjnie",AG113*(1+Tabela3[[#This Row],[Inflacja3]]),IF(ZmianaWartościNieruchomości="stały %",AG113*(1+Tabela3[[#This Row],[Stały % zmiany warrtości]]),IF(ZmianaWartościNieruchomości="stała kwota",AG113+AF114,AG113)))))</f>
        <v>0</v>
      </c>
      <c r="AH114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14" s="177" cm="1">
        <f t="array" ref="AI114">Tabela3[[#This Row],[Wynik z najmu netto rocznie]]/IF(CzyKredyt="Tak",WydanaGotówka2,WydanaGotówka1)</f>
        <v>0</v>
      </c>
      <c r="AJ114" s="177" cm="1">
        <f t="array" ref="AJ114">Tabela3[[#This Row],[Wynik z najmu netto rocznie]]/IF(CzyKredyt="Tak",SumaKosztówPoczątkowychInwestycji,SumaKosztów)</f>
        <v>0</v>
      </c>
      <c r="AK114" s="155" cm="1">
        <f t="array" ref="AK114">IF(Tabela3[[#This Row],[Rok]]&gt;HoryzontInwestycyjny,0,-IF(CzyKredyt="Tak",WydanaGotówka2,WydanaGotówka1)+Tabela3[[#This Row],[Skumulowany wynik z najmu netto z najmu]])</f>
        <v>0</v>
      </c>
    </row>
    <row r="115" spans="3:37">
      <c r="C115" s="168">
        <v>62</v>
      </c>
      <c r="D115" s="152">
        <f t="shared" si="4"/>
        <v>0.02</v>
      </c>
      <c r="E115" s="152">
        <f t="shared" si="5"/>
        <v>0.04</v>
      </c>
      <c r="F115" s="167">
        <f t="shared" si="6"/>
        <v>150</v>
      </c>
      <c r="G115" s="151">
        <f>IF(Tabela3[[#This Row],[Rok]]&gt;HoryzontInwestycyjny,0,IF(ZmianaOdstępnego="bez zmian",G114,IF(ZmianaOdstępnego="inflacyjnie",G114*(1+Wyniki2!$D115),IF(ZmianaOdstępnego="stały %",G114*(1+Wyniki2!$E115),IF(ZmianaOdstępnego="stała kwota",G114+Wyniki2!$F115,)))))</f>
        <v>0</v>
      </c>
      <c r="H115" s="165">
        <f>IF(Tabela3[[#This Row],[Rok]]&gt;HoryzontInwestycyjny,0,MAX(0, MiesiąceNajmu - MAX(0, MAX(IFERROR(IF(MOD($C115, MałyRemont) = 0,Czas_MałyRemont, 0),0),IFERROR(IF(MOD($C115,DużyRemont) = 0,Czas_DużyRemont, 0),0)) - (12 -MiesiąceNajmu))))</f>
        <v>0</v>
      </c>
      <c r="I115" s="166">
        <f t="shared" si="7"/>
        <v>0</v>
      </c>
      <c r="J115" s="152" t="str">
        <f>IF(Tabela3[[#This Row],[Rok]]&gt;HoryzontInwestycyjny,"",IF(ZmianaKosztów="TAK",Inflacja,0))</f>
        <v/>
      </c>
      <c r="K115" s="172"/>
      <c r="L115" s="172"/>
      <c r="M115" s="172"/>
      <c r="N115" s="171" cm="1">
        <f t="array" ref="N115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15" s="171" cm="1">
        <f t="array" ref="O115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15" s="155" cm="1">
        <f t="array" ref="P115">IF(Tabela3[[#This Row],[Rok]]&gt;HoryzontInwestycyjny,0,IF(12-Tabela3[[#This Row],[Liczba wynajętych miesięcy w roku]]&gt;0, (12-Tabela3[[#This Row],[Liczba wynajętych miesięcy w roku]]) *CzynszWspólnoty* IF(ZmianaKosztów="Tak", PRODUCT(1+J$54:INDEX($J$54:J115, ROWS($D$54:D115)-1)), 1), 0))</f>
        <v>0</v>
      </c>
      <c r="Q115" s="170">
        <f>IF(Tabela3[[#This Row],[Rok]]&gt;HoryzontInwestycyjny,0,SUMIF(Kredyt!$E:$E,Tabela3[[#This Row],[Rok]],Kredyt!$I:$I))</f>
        <v>0</v>
      </c>
      <c r="R115" s="171">
        <f>IF(Tabela3[[#This Row],[Rok]]&gt;HoryzontInwestycyjny,0,SUMIF(Kredyt!$E:$E,Tabela3[[#This Row],[Rok]],Kredyt!$J:$J))</f>
        <v>0</v>
      </c>
      <c r="S115" s="172">
        <f>Tabela3[[#This Row],[Rata kredytu: odsetki]]+Tabela3[[#This Row],[Rata kredytu: kapitał]]</f>
        <v>0</v>
      </c>
      <c r="T115" s="169" cm="1">
        <f t="array" ref="T115">IF(Tabela3[[#This Row],[Rok]]&gt;HoryzontInwestycyjny,0,IFERROR(INDEX(Kredyt!$M:$M,11+Tabela3[[#This Row],[Rok]]*12) * UbezŻyć,""))</f>
        <v>0</v>
      </c>
      <c r="U115" s="155" cm="1">
        <f t="array" ref="U115">IF(Tabela3[[#This Row],[Rok]]&gt;HoryzontInwestycyjny,0,IF(CzasKredytu&gt;=Tabela3[[#This Row],[Rok]],IF(ZmianaKosztów="Tak",UbezMiesz* PRODUCT(1+J115:J115), UbezMiesz),""))</f>
        <v>0</v>
      </c>
      <c r="V115" s="155" cm="1">
        <f t="array" ref="V115">IF(Tabela3[[#This Row],[Rok]]&gt;HoryzontInwestycyjny,0,IF(ZmianaKosztów="Tak", PodatekOdNieruchomości * PRODUCT(1+J$54:J114), PodNie))</f>
        <v>0</v>
      </c>
      <c r="W115" s="155">
        <f>KosztyZarządzania*Tabela3[[#This Row],[Przychody z wynajmu]]</f>
        <v>0</v>
      </c>
      <c r="X115" s="155" cm="1">
        <f t="array" ref="X115">IF(Tabela3[[#This Row],[Rok]]&gt;HoryzontInwestycyjny,0,IF(ZmianaKosztów="Tak", InneKosztyRocznie* PRODUCT(1+J$55:J115), InneKosztyRocznie))</f>
        <v>0</v>
      </c>
      <c r="Y115" s="155">
        <f>SUM(Tabela3[[#This Row],[Cena mieszkania + remont początkowy]:[Inne koszty]])-Tabela3[[#This Row],[Rata kredytu]]</f>
        <v>0</v>
      </c>
      <c r="Z115" s="155">
        <f>IF(Tabela3[[#This Row],[Przychody z wynajmu]]&lt;=100000, Tabela3[[#This Row],[Przychody z wynajmu]]*MałyPodatek, 100000*MałyPodatek + (Tabela3[[#This Row],[Przychody z wynajmu]]-100000)*DużyPodatek)</f>
        <v>0</v>
      </c>
      <c r="AA115" s="155">
        <f>Tabela3[[#This Row],[Wydatki związane z najmem całkowite]]+Tabela3[[#This Row],[Podatek od przychodu]]</f>
        <v>0</v>
      </c>
      <c r="AB115" s="155">
        <f>IF(Tabela3[[#This Row],[Rok]]&gt;HoryzontInwestycyjny,0,Tabela3[[#This Row],[Przychody z wynajmu]]-Tabela3[[#This Row],[Wydatki związane z najmem całkowite]]-Tabela3[[#This Row],[Podatek od przychodu]])</f>
        <v>0</v>
      </c>
      <c r="AC115" s="155">
        <f>IF(Tabela3[[#This Row],[Rok]]&gt;HoryzontInwestycyjny,0,AC114+Tabela3[[#This Row],[Wynik z najmu netto rocznie]])</f>
        <v>0</v>
      </c>
      <c r="AD115" s="176" t="str">
        <f>IF(Tabela3[[#This Row],[Rok]]&gt;HoryzontInwestycyjny,"",IF(ZmianaWartościNieruchomości="Inflacyjnie",Inflacja,0))</f>
        <v/>
      </c>
      <c r="AE115" s="177" t="str">
        <f>IF(Tabela3[[#This Row],[Rok]]&gt;HoryzontInwestycyjny,"",StałyProcentZmianyWartościNieruchomości)</f>
        <v/>
      </c>
      <c r="AF115" s="178" t="str">
        <f>IF(Tabela3[[#This Row],[Rok]]&gt;HoryzontInwestycyjny,"",StałaKwotaZmianyWartościNieruchomości)</f>
        <v/>
      </c>
      <c r="AG115" s="155">
        <f>IF(Tabela3[[#This Row],[Rok]]&gt;HoryzontInwestycyjny,0,IF(ZmianaWartościNieruchomości="bez zmian",AG114,IF(ZmianaWartościNieruchomości="inflacyjnie",AG114*(1+Tabela3[[#This Row],[Inflacja3]]),IF(ZmianaWartościNieruchomości="stały %",AG114*(1+Tabela3[[#This Row],[Stały % zmiany warrtości]]),IF(ZmianaWartościNieruchomości="stała kwota",AG114+AF115,AG114)))))</f>
        <v>0</v>
      </c>
      <c r="AH115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15" s="177" cm="1">
        <f t="array" ref="AI115">Tabela3[[#This Row],[Wynik z najmu netto rocznie]]/IF(CzyKredyt="Tak",WydanaGotówka2,WydanaGotówka1)</f>
        <v>0</v>
      </c>
      <c r="AJ115" s="177" cm="1">
        <f t="array" ref="AJ115">Tabela3[[#This Row],[Wynik z najmu netto rocznie]]/IF(CzyKredyt="Tak",SumaKosztówPoczątkowychInwestycji,SumaKosztów)</f>
        <v>0</v>
      </c>
      <c r="AK115" s="155" cm="1">
        <f t="array" ref="AK115">IF(Tabela3[[#This Row],[Rok]]&gt;HoryzontInwestycyjny,0,-IF(CzyKredyt="Tak",WydanaGotówka2,WydanaGotówka1)+Tabela3[[#This Row],[Skumulowany wynik z najmu netto z najmu]])</f>
        <v>0</v>
      </c>
    </row>
    <row r="116" spans="3:37">
      <c r="C116" s="158">
        <v>63</v>
      </c>
      <c r="D116" s="152">
        <f t="shared" si="4"/>
        <v>0.02</v>
      </c>
      <c r="E116" s="152">
        <f t="shared" si="5"/>
        <v>0.04</v>
      </c>
      <c r="F116" s="167">
        <f t="shared" si="6"/>
        <v>150</v>
      </c>
      <c r="G116" s="151">
        <f>IF(Tabela3[[#This Row],[Rok]]&gt;HoryzontInwestycyjny,0,IF(ZmianaOdstępnego="bez zmian",G115,IF(ZmianaOdstępnego="inflacyjnie",G115*(1+Wyniki2!$D116),IF(ZmianaOdstępnego="stały %",G115*(1+Wyniki2!$E116),IF(ZmianaOdstępnego="stała kwota",G115+Wyniki2!$F116,)))))</f>
        <v>0</v>
      </c>
      <c r="H116" s="165">
        <f>IF(Tabela3[[#This Row],[Rok]]&gt;HoryzontInwestycyjny,0,MAX(0, MiesiąceNajmu - MAX(0, MAX(IFERROR(IF(MOD($C116, MałyRemont) = 0,Czas_MałyRemont, 0),0),IFERROR(IF(MOD($C116,DużyRemont) = 0,Czas_DużyRemont, 0),0)) - (12 -MiesiąceNajmu))))</f>
        <v>0</v>
      </c>
      <c r="I116" s="166">
        <f t="shared" si="7"/>
        <v>0</v>
      </c>
      <c r="J116" s="152" t="str">
        <f>IF(Tabela3[[#This Row],[Rok]]&gt;HoryzontInwestycyjny,"",IF(ZmianaKosztów="TAK",Inflacja,0))</f>
        <v/>
      </c>
      <c r="K116" s="155"/>
      <c r="L116" s="155"/>
      <c r="M116" s="155"/>
      <c r="N116" s="171" cm="1">
        <f t="array" ref="N116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16" s="171" cm="1">
        <f t="array" ref="O116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16" s="155" cm="1">
        <f t="array" ref="P116">IF(Tabela3[[#This Row],[Rok]]&gt;HoryzontInwestycyjny,0,IF(12-Tabela3[[#This Row],[Liczba wynajętych miesięcy w roku]]&gt;0, (12-Tabela3[[#This Row],[Liczba wynajętych miesięcy w roku]]) *CzynszWspólnoty* IF(ZmianaKosztów="Tak", PRODUCT(1+J$54:INDEX($J$54:J116, ROWS($D$54:D116)-1)), 1), 0))</f>
        <v>0</v>
      </c>
      <c r="Q116" s="170">
        <f>IF(Tabela3[[#This Row],[Rok]]&gt;HoryzontInwestycyjny,0,SUMIF(Kredyt!$E:$E,Tabela3[[#This Row],[Rok]],Kredyt!$I:$I))</f>
        <v>0</v>
      </c>
      <c r="R116" s="171">
        <f>IF(Tabela3[[#This Row],[Rok]]&gt;HoryzontInwestycyjny,0,SUMIF(Kredyt!$E:$E,Tabela3[[#This Row],[Rok]],Kredyt!$J:$J))</f>
        <v>0</v>
      </c>
      <c r="S116" s="155">
        <f>Tabela3[[#This Row],[Rata kredytu: odsetki]]+Tabela3[[#This Row],[Rata kredytu: kapitał]]</f>
        <v>0</v>
      </c>
      <c r="T116" s="169" cm="1">
        <f t="array" ref="T116">IF(Tabela3[[#This Row],[Rok]]&gt;HoryzontInwestycyjny,0,IFERROR(INDEX(Kredyt!$M:$M,11+Tabela3[[#This Row],[Rok]]*12) * UbezŻyć,""))</f>
        <v>0</v>
      </c>
      <c r="U116" s="155" cm="1">
        <f t="array" ref="U116">IF(Tabela3[[#This Row],[Rok]]&gt;HoryzontInwestycyjny,0,IF(CzasKredytu&gt;=Tabela3[[#This Row],[Rok]],IF(ZmianaKosztów="Tak",UbezMiesz* PRODUCT(1+J116:J116), UbezMiesz),""))</f>
        <v>0</v>
      </c>
      <c r="V116" s="155" cm="1">
        <f t="array" ref="V116">IF(Tabela3[[#This Row],[Rok]]&gt;HoryzontInwestycyjny,0,IF(ZmianaKosztów="Tak", PodatekOdNieruchomości * PRODUCT(1+J$54:J115), PodNie))</f>
        <v>0</v>
      </c>
      <c r="W116" s="155">
        <f>KosztyZarządzania*Tabela3[[#This Row],[Przychody z wynajmu]]</f>
        <v>0</v>
      </c>
      <c r="X116" s="155" cm="1">
        <f t="array" ref="X116">IF(Tabela3[[#This Row],[Rok]]&gt;HoryzontInwestycyjny,0,IF(ZmianaKosztów="Tak", InneKosztyRocznie* PRODUCT(1+J$55:J116), InneKosztyRocznie))</f>
        <v>0</v>
      </c>
      <c r="Y116" s="155">
        <f>SUM(Tabela3[[#This Row],[Cena mieszkania + remont początkowy]:[Inne koszty]])-Tabela3[[#This Row],[Rata kredytu]]</f>
        <v>0</v>
      </c>
      <c r="Z116" s="155">
        <f>IF(Tabela3[[#This Row],[Przychody z wynajmu]]&lt;=100000, Tabela3[[#This Row],[Przychody z wynajmu]]*MałyPodatek, 100000*MałyPodatek + (Tabela3[[#This Row],[Przychody z wynajmu]]-100000)*DużyPodatek)</f>
        <v>0</v>
      </c>
      <c r="AA116" s="155">
        <f>Tabela3[[#This Row],[Wydatki związane z najmem całkowite]]+Tabela3[[#This Row],[Podatek od przychodu]]</f>
        <v>0</v>
      </c>
      <c r="AB116" s="155">
        <f>IF(Tabela3[[#This Row],[Rok]]&gt;HoryzontInwestycyjny,0,Tabela3[[#This Row],[Przychody z wynajmu]]-Tabela3[[#This Row],[Wydatki związane z najmem całkowite]]-Tabela3[[#This Row],[Podatek od przychodu]])</f>
        <v>0</v>
      </c>
      <c r="AC116" s="155">
        <f>IF(Tabela3[[#This Row],[Rok]]&gt;HoryzontInwestycyjny,0,AC115+Tabela3[[#This Row],[Wynik z najmu netto rocznie]])</f>
        <v>0</v>
      </c>
      <c r="AD116" s="176" t="str">
        <f>IF(Tabela3[[#This Row],[Rok]]&gt;HoryzontInwestycyjny,"",IF(ZmianaWartościNieruchomości="Inflacyjnie",Inflacja,0))</f>
        <v/>
      </c>
      <c r="AE116" s="177" t="str">
        <f>IF(Tabela3[[#This Row],[Rok]]&gt;HoryzontInwestycyjny,"",StałyProcentZmianyWartościNieruchomości)</f>
        <v/>
      </c>
      <c r="AF116" s="178" t="str">
        <f>IF(Tabela3[[#This Row],[Rok]]&gt;HoryzontInwestycyjny,"",StałaKwotaZmianyWartościNieruchomości)</f>
        <v/>
      </c>
      <c r="AG116" s="155">
        <f>IF(Tabela3[[#This Row],[Rok]]&gt;HoryzontInwestycyjny,0,IF(ZmianaWartościNieruchomości="bez zmian",AG115,IF(ZmianaWartościNieruchomości="inflacyjnie",AG115*(1+Tabela3[[#This Row],[Inflacja3]]),IF(ZmianaWartościNieruchomości="stały %",AG115*(1+Tabela3[[#This Row],[Stały % zmiany warrtości]]),IF(ZmianaWartościNieruchomości="stała kwota",AG115+AF116,AG115)))))</f>
        <v>0</v>
      </c>
      <c r="AH116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16" s="177" cm="1">
        <f t="array" ref="AI116">Tabela3[[#This Row],[Wynik z najmu netto rocznie]]/IF(CzyKredyt="Tak",WydanaGotówka2,WydanaGotówka1)</f>
        <v>0</v>
      </c>
      <c r="AJ116" s="177" cm="1">
        <f t="array" ref="AJ116">Tabela3[[#This Row],[Wynik z najmu netto rocznie]]/IF(CzyKredyt="Tak",SumaKosztówPoczątkowychInwestycji,SumaKosztów)</f>
        <v>0</v>
      </c>
      <c r="AK116" s="155" cm="1">
        <f t="array" ref="AK116">IF(Tabela3[[#This Row],[Rok]]&gt;HoryzontInwestycyjny,0,-IF(CzyKredyt="Tak",WydanaGotówka2,WydanaGotówka1)+Tabela3[[#This Row],[Skumulowany wynik z najmu netto z najmu]])</f>
        <v>0</v>
      </c>
    </row>
    <row r="117" spans="3:37">
      <c r="C117" s="168">
        <v>64</v>
      </c>
      <c r="D117" s="152">
        <f t="shared" si="4"/>
        <v>0.02</v>
      </c>
      <c r="E117" s="152">
        <f t="shared" si="5"/>
        <v>0.04</v>
      </c>
      <c r="F117" s="167">
        <f t="shared" si="6"/>
        <v>150</v>
      </c>
      <c r="G117" s="151">
        <f>IF(Tabela3[[#This Row],[Rok]]&gt;HoryzontInwestycyjny,0,IF(ZmianaOdstępnego="bez zmian",G116,IF(ZmianaOdstępnego="inflacyjnie",G116*(1+Wyniki2!$D117),IF(ZmianaOdstępnego="stały %",G116*(1+Wyniki2!$E117),IF(ZmianaOdstępnego="stała kwota",G116+Wyniki2!$F117,)))))</f>
        <v>0</v>
      </c>
      <c r="H117" s="165">
        <f>IF(Tabela3[[#This Row],[Rok]]&gt;HoryzontInwestycyjny,0,MAX(0, MiesiąceNajmu - MAX(0, MAX(IFERROR(IF(MOD($C117, MałyRemont) = 0,Czas_MałyRemont, 0),0),IFERROR(IF(MOD($C117,DużyRemont) = 0,Czas_DużyRemont, 0),0)) - (12 -MiesiąceNajmu))))</f>
        <v>0</v>
      </c>
      <c r="I117" s="166">
        <f t="shared" si="7"/>
        <v>0</v>
      </c>
      <c r="J117" s="152" t="str">
        <f>IF(Tabela3[[#This Row],[Rok]]&gt;HoryzontInwestycyjny,"",IF(ZmianaKosztów="TAK",Inflacja,0))</f>
        <v/>
      </c>
      <c r="K117" s="172"/>
      <c r="L117" s="172"/>
      <c r="M117" s="172"/>
      <c r="N117" s="171" cm="1">
        <f t="array" ref="N117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17" s="171" cm="1">
        <f t="array" ref="O117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17" s="155" cm="1">
        <f t="array" ref="P117">IF(Tabela3[[#This Row],[Rok]]&gt;HoryzontInwestycyjny,0,IF(12-Tabela3[[#This Row],[Liczba wynajętych miesięcy w roku]]&gt;0, (12-Tabela3[[#This Row],[Liczba wynajętych miesięcy w roku]]) *CzynszWspólnoty* IF(ZmianaKosztów="Tak", PRODUCT(1+J$54:INDEX($J$54:J117, ROWS($D$54:D117)-1)), 1), 0))</f>
        <v>0</v>
      </c>
      <c r="Q117" s="170">
        <f>IF(Tabela3[[#This Row],[Rok]]&gt;HoryzontInwestycyjny,0,SUMIF(Kredyt!$E:$E,Tabela3[[#This Row],[Rok]],Kredyt!$I:$I))</f>
        <v>0</v>
      </c>
      <c r="R117" s="171">
        <f>IF(Tabela3[[#This Row],[Rok]]&gt;HoryzontInwestycyjny,0,SUMIF(Kredyt!$E:$E,Tabela3[[#This Row],[Rok]],Kredyt!$J:$J))</f>
        <v>0</v>
      </c>
      <c r="S117" s="172">
        <f>Tabela3[[#This Row],[Rata kredytu: odsetki]]+Tabela3[[#This Row],[Rata kredytu: kapitał]]</f>
        <v>0</v>
      </c>
      <c r="T117" s="169" cm="1">
        <f t="array" ref="T117">IF(Tabela3[[#This Row],[Rok]]&gt;HoryzontInwestycyjny,0,IFERROR(INDEX(Kredyt!$M:$M,11+Tabela3[[#This Row],[Rok]]*12) * UbezŻyć,""))</f>
        <v>0</v>
      </c>
      <c r="U117" s="155" cm="1">
        <f t="array" ref="U117">IF(Tabela3[[#This Row],[Rok]]&gt;HoryzontInwestycyjny,0,IF(CzasKredytu&gt;=Tabela3[[#This Row],[Rok]],IF(ZmianaKosztów="Tak",UbezMiesz* PRODUCT(1+J117:J117), UbezMiesz),""))</f>
        <v>0</v>
      </c>
      <c r="V117" s="155" cm="1">
        <f t="array" ref="V117">IF(Tabela3[[#This Row],[Rok]]&gt;HoryzontInwestycyjny,0,IF(ZmianaKosztów="Tak", PodatekOdNieruchomości * PRODUCT(1+J$54:J116), PodNie))</f>
        <v>0</v>
      </c>
      <c r="W117" s="155">
        <f>KosztyZarządzania*Tabela3[[#This Row],[Przychody z wynajmu]]</f>
        <v>0</v>
      </c>
      <c r="X117" s="155" cm="1">
        <f t="array" ref="X117">IF(Tabela3[[#This Row],[Rok]]&gt;HoryzontInwestycyjny,0,IF(ZmianaKosztów="Tak", InneKosztyRocznie* PRODUCT(1+J$55:J117), InneKosztyRocznie))</f>
        <v>0</v>
      </c>
      <c r="Y117" s="155">
        <f>SUM(Tabela3[[#This Row],[Cena mieszkania + remont początkowy]:[Inne koszty]])-Tabela3[[#This Row],[Rata kredytu]]</f>
        <v>0</v>
      </c>
      <c r="Z117" s="155">
        <f>IF(Tabela3[[#This Row],[Przychody z wynajmu]]&lt;=100000, Tabela3[[#This Row],[Przychody z wynajmu]]*MałyPodatek, 100000*MałyPodatek + (Tabela3[[#This Row],[Przychody z wynajmu]]-100000)*DużyPodatek)</f>
        <v>0</v>
      </c>
      <c r="AA117" s="155">
        <f>Tabela3[[#This Row],[Wydatki związane z najmem całkowite]]+Tabela3[[#This Row],[Podatek od przychodu]]</f>
        <v>0</v>
      </c>
      <c r="AB117" s="155">
        <f>IF(Tabela3[[#This Row],[Rok]]&gt;HoryzontInwestycyjny,0,Tabela3[[#This Row],[Przychody z wynajmu]]-Tabela3[[#This Row],[Wydatki związane z najmem całkowite]]-Tabela3[[#This Row],[Podatek od przychodu]])</f>
        <v>0</v>
      </c>
      <c r="AC117" s="155">
        <f>IF(Tabela3[[#This Row],[Rok]]&gt;HoryzontInwestycyjny,0,AC116+Tabela3[[#This Row],[Wynik z najmu netto rocznie]])</f>
        <v>0</v>
      </c>
      <c r="AD117" s="176" t="str">
        <f>IF(Tabela3[[#This Row],[Rok]]&gt;HoryzontInwestycyjny,"",IF(ZmianaWartościNieruchomości="Inflacyjnie",Inflacja,0))</f>
        <v/>
      </c>
      <c r="AE117" s="177" t="str">
        <f>IF(Tabela3[[#This Row],[Rok]]&gt;HoryzontInwestycyjny,"",StałyProcentZmianyWartościNieruchomości)</f>
        <v/>
      </c>
      <c r="AF117" s="178" t="str">
        <f>IF(Tabela3[[#This Row],[Rok]]&gt;HoryzontInwestycyjny,"",StałaKwotaZmianyWartościNieruchomości)</f>
        <v/>
      </c>
      <c r="AG117" s="155">
        <f>IF(Tabela3[[#This Row],[Rok]]&gt;HoryzontInwestycyjny,0,IF(ZmianaWartościNieruchomości="bez zmian",AG116,IF(ZmianaWartościNieruchomości="inflacyjnie",AG116*(1+Tabela3[[#This Row],[Inflacja3]]),IF(ZmianaWartościNieruchomości="stały %",AG116*(1+Tabela3[[#This Row],[Stały % zmiany warrtości]]),IF(ZmianaWartościNieruchomości="stała kwota",AG116+AF117,AG116)))))</f>
        <v>0</v>
      </c>
      <c r="AH117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17" s="177" cm="1">
        <f t="array" ref="AI117">Tabela3[[#This Row],[Wynik z najmu netto rocznie]]/IF(CzyKredyt="Tak",WydanaGotówka2,WydanaGotówka1)</f>
        <v>0</v>
      </c>
      <c r="AJ117" s="177" cm="1">
        <f t="array" ref="AJ117">Tabela3[[#This Row],[Wynik z najmu netto rocznie]]/IF(CzyKredyt="Tak",SumaKosztówPoczątkowychInwestycji,SumaKosztów)</f>
        <v>0</v>
      </c>
      <c r="AK117" s="155" cm="1">
        <f t="array" ref="AK117">IF(Tabela3[[#This Row],[Rok]]&gt;HoryzontInwestycyjny,0,-IF(CzyKredyt="Tak",WydanaGotówka2,WydanaGotówka1)+Tabela3[[#This Row],[Skumulowany wynik z najmu netto z najmu]])</f>
        <v>0</v>
      </c>
    </row>
    <row r="118" spans="3:37">
      <c r="C118" s="158">
        <v>65</v>
      </c>
      <c r="D118" s="152">
        <f t="shared" si="4"/>
        <v>0.02</v>
      </c>
      <c r="E118" s="152">
        <f t="shared" si="5"/>
        <v>0.04</v>
      </c>
      <c r="F118" s="167">
        <f t="shared" si="6"/>
        <v>150</v>
      </c>
      <c r="G118" s="151">
        <f>IF(Tabela3[[#This Row],[Rok]]&gt;HoryzontInwestycyjny,0,IF(ZmianaOdstępnego="bez zmian",G117,IF(ZmianaOdstępnego="inflacyjnie",G117*(1+Wyniki2!$D118),IF(ZmianaOdstępnego="stały %",G117*(1+Wyniki2!$E118),IF(ZmianaOdstępnego="stała kwota",G117+Wyniki2!$F118,)))))</f>
        <v>0</v>
      </c>
      <c r="H118" s="165">
        <f>IF(Tabela3[[#This Row],[Rok]]&gt;HoryzontInwestycyjny,0,MAX(0, MiesiąceNajmu - MAX(0, MAX(IFERROR(IF(MOD($C118, MałyRemont) = 0,Czas_MałyRemont, 0),0),IFERROR(IF(MOD($C118,DużyRemont) = 0,Czas_DużyRemont, 0),0)) - (12 -MiesiąceNajmu))))</f>
        <v>0</v>
      </c>
      <c r="I118" s="166">
        <f t="shared" si="7"/>
        <v>0</v>
      </c>
      <c r="J118" s="152" t="str">
        <f>IF(Tabela3[[#This Row],[Rok]]&gt;HoryzontInwestycyjny,"",IF(ZmianaKosztów="TAK",Inflacja,0))</f>
        <v/>
      </c>
      <c r="K118" s="155"/>
      <c r="L118" s="155"/>
      <c r="M118" s="155"/>
      <c r="N118" s="171" cm="1">
        <f t="array" ref="N118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18" s="171" cm="1">
        <f t="array" ref="O118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18" s="155" cm="1">
        <f t="array" ref="P118">IF(Tabela3[[#This Row],[Rok]]&gt;HoryzontInwestycyjny,0,IF(12-Tabela3[[#This Row],[Liczba wynajętych miesięcy w roku]]&gt;0, (12-Tabela3[[#This Row],[Liczba wynajętych miesięcy w roku]]) *CzynszWspólnoty* IF(ZmianaKosztów="Tak", PRODUCT(1+J$54:INDEX($J$54:J118, ROWS($D$54:D118)-1)), 1), 0))</f>
        <v>0</v>
      </c>
      <c r="Q118" s="170">
        <f>IF(Tabela3[[#This Row],[Rok]]&gt;HoryzontInwestycyjny,0,SUMIF(Kredyt!$E:$E,Tabela3[[#This Row],[Rok]],Kredyt!$I:$I))</f>
        <v>0</v>
      </c>
      <c r="R118" s="171">
        <f>IF(Tabela3[[#This Row],[Rok]]&gt;HoryzontInwestycyjny,0,SUMIF(Kredyt!$E:$E,Tabela3[[#This Row],[Rok]],Kredyt!$J:$J))</f>
        <v>0</v>
      </c>
      <c r="S118" s="155">
        <f>Tabela3[[#This Row],[Rata kredytu: odsetki]]+Tabela3[[#This Row],[Rata kredytu: kapitał]]</f>
        <v>0</v>
      </c>
      <c r="T118" s="169" cm="1">
        <f t="array" ref="T118">IF(Tabela3[[#This Row],[Rok]]&gt;HoryzontInwestycyjny,0,IFERROR(INDEX(Kredyt!$M:$M,11+Tabela3[[#This Row],[Rok]]*12) * UbezŻyć,""))</f>
        <v>0</v>
      </c>
      <c r="U118" s="155" cm="1">
        <f t="array" ref="U118">IF(Tabela3[[#This Row],[Rok]]&gt;HoryzontInwestycyjny,0,IF(CzasKredytu&gt;=Tabela3[[#This Row],[Rok]],IF(ZmianaKosztów="Tak",UbezMiesz* PRODUCT(1+J118:J118), UbezMiesz),""))</f>
        <v>0</v>
      </c>
      <c r="V118" s="155" cm="1">
        <f t="array" ref="V118">IF(Tabela3[[#This Row],[Rok]]&gt;HoryzontInwestycyjny,0,IF(ZmianaKosztów="Tak", PodatekOdNieruchomości * PRODUCT(1+J$54:J117), PodNie))</f>
        <v>0</v>
      </c>
      <c r="W118" s="155">
        <f>KosztyZarządzania*Tabela3[[#This Row],[Przychody z wynajmu]]</f>
        <v>0</v>
      </c>
      <c r="X118" s="155" cm="1">
        <f t="array" ref="X118">IF(Tabela3[[#This Row],[Rok]]&gt;HoryzontInwestycyjny,0,IF(ZmianaKosztów="Tak", InneKosztyRocznie* PRODUCT(1+J$55:J118), InneKosztyRocznie))</f>
        <v>0</v>
      </c>
      <c r="Y118" s="155">
        <f>SUM(Tabela3[[#This Row],[Cena mieszkania + remont początkowy]:[Inne koszty]])-Tabela3[[#This Row],[Rata kredytu]]</f>
        <v>0</v>
      </c>
      <c r="Z118" s="155">
        <f>IF(Tabela3[[#This Row],[Przychody z wynajmu]]&lt;=100000, Tabela3[[#This Row],[Przychody z wynajmu]]*MałyPodatek, 100000*MałyPodatek + (Tabela3[[#This Row],[Przychody z wynajmu]]-100000)*DużyPodatek)</f>
        <v>0</v>
      </c>
      <c r="AA118" s="155">
        <f>Tabela3[[#This Row],[Wydatki związane z najmem całkowite]]+Tabela3[[#This Row],[Podatek od przychodu]]</f>
        <v>0</v>
      </c>
      <c r="AB118" s="155">
        <f>IF(Tabela3[[#This Row],[Rok]]&gt;HoryzontInwestycyjny,0,Tabela3[[#This Row],[Przychody z wynajmu]]-Tabela3[[#This Row],[Wydatki związane z najmem całkowite]]-Tabela3[[#This Row],[Podatek od przychodu]])</f>
        <v>0</v>
      </c>
      <c r="AC118" s="155">
        <f>IF(Tabela3[[#This Row],[Rok]]&gt;HoryzontInwestycyjny,0,AC117+Tabela3[[#This Row],[Wynik z najmu netto rocznie]])</f>
        <v>0</v>
      </c>
      <c r="AD118" s="176" t="str">
        <f>IF(Tabela3[[#This Row],[Rok]]&gt;HoryzontInwestycyjny,"",IF(ZmianaWartościNieruchomości="Inflacyjnie",Inflacja,0))</f>
        <v/>
      </c>
      <c r="AE118" s="177" t="str">
        <f>IF(Tabela3[[#This Row],[Rok]]&gt;HoryzontInwestycyjny,"",StałyProcentZmianyWartościNieruchomości)</f>
        <v/>
      </c>
      <c r="AF118" s="178" t="str">
        <f>IF(Tabela3[[#This Row],[Rok]]&gt;HoryzontInwestycyjny,"",StałaKwotaZmianyWartościNieruchomości)</f>
        <v/>
      </c>
      <c r="AG118" s="155">
        <f>IF(Tabela3[[#This Row],[Rok]]&gt;HoryzontInwestycyjny,0,IF(ZmianaWartościNieruchomości="bez zmian",AG117,IF(ZmianaWartościNieruchomości="inflacyjnie",AG117*(1+Tabela3[[#This Row],[Inflacja3]]),IF(ZmianaWartościNieruchomości="stały %",AG117*(1+Tabela3[[#This Row],[Stały % zmiany warrtości]]),IF(ZmianaWartościNieruchomości="stała kwota",AG117+AF118,AG117)))))</f>
        <v>0</v>
      </c>
      <c r="AH118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18" s="177" cm="1">
        <f t="array" ref="AI118">Tabela3[[#This Row],[Wynik z najmu netto rocznie]]/IF(CzyKredyt="Tak",WydanaGotówka2,WydanaGotówka1)</f>
        <v>0</v>
      </c>
      <c r="AJ118" s="177" cm="1">
        <f t="array" ref="AJ118">Tabela3[[#This Row],[Wynik z najmu netto rocznie]]/IF(CzyKredyt="Tak",SumaKosztówPoczątkowychInwestycji,SumaKosztów)</f>
        <v>0</v>
      </c>
      <c r="AK118" s="155" cm="1">
        <f t="array" ref="AK118">IF(Tabela3[[#This Row],[Rok]]&gt;HoryzontInwestycyjny,0,-IF(CzyKredyt="Tak",WydanaGotówka2,WydanaGotówka1)+Tabela3[[#This Row],[Skumulowany wynik z najmu netto z najmu]])</f>
        <v>0</v>
      </c>
    </row>
    <row r="119" spans="3:37">
      <c r="C119" s="168">
        <v>66</v>
      </c>
      <c r="D119" s="152">
        <f t="shared" si="4"/>
        <v>0.02</v>
      </c>
      <c r="E119" s="152">
        <f t="shared" si="5"/>
        <v>0.04</v>
      </c>
      <c r="F119" s="167">
        <f t="shared" si="6"/>
        <v>150</v>
      </c>
      <c r="G119" s="151">
        <f>IF(Tabela3[[#This Row],[Rok]]&gt;HoryzontInwestycyjny,0,IF(ZmianaOdstępnego="bez zmian",G118,IF(ZmianaOdstępnego="inflacyjnie",G118*(1+Wyniki2!$D119),IF(ZmianaOdstępnego="stały %",G118*(1+Wyniki2!$E119),IF(ZmianaOdstępnego="stała kwota",G118+Wyniki2!$F119,)))))</f>
        <v>0</v>
      </c>
      <c r="H119" s="165">
        <f>IF(Tabela3[[#This Row],[Rok]]&gt;HoryzontInwestycyjny,0,MAX(0, MiesiąceNajmu - MAX(0, MAX(IFERROR(IF(MOD($C119, MałyRemont) = 0,Czas_MałyRemont, 0),0),IFERROR(IF(MOD($C119,DużyRemont) = 0,Czas_DużyRemont, 0),0)) - (12 -MiesiąceNajmu))))</f>
        <v>0</v>
      </c>
      <c r="I119" s="166">
        <f t="shared" si="7"/>
        <v>0</v>
      </c>
      <c r="J119" s="152" t="str">
        <f>IF(Tabela3[[#This Row],[Rok]]&gt;HoryzontInwestycyjny,"",IF(ZmianaKosztów="TAK",Inflacja,0))</f>
        <v/>
      </c>
      <c r="K119" s="172"/>
      <c r="L119" s="172"/>
      <c r="M119" s="172"/>
      <c r="N119" s="171" cm="1">
        <f t="array" ref="N119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19" s="171" cm="1">
        <f t="array" ref="O119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19" s="155" cm="1">
        <f t="array" ref="P119">IF(Tabela3[[#This Row],[Rok]]&gt;HoryzontInwestycyjny,0,IF(12-Tabela3[[#This Row],[Liczba wynajętych miesięcy w roku]]&gt;0, (12-Tabela3[[#This Row],[Liczba wynajętych miesięcy w roku]]) *CzynszWspólnoty* IF(ZmianaKosztów="Tak", PRODUCT(1+J$54:INDEX($J$54:J119, ROWS($D$54:D119)-1)), 1), 0))</f>
        <v>0</v>
      </c>
      <c r="Q119" s="170">
        <f>IF(Tabela3[[#This Row],[Rok]]&gt;HoryzontInwestycyjny,0,SUMIF(Kredyt!$E:$E,Tabela3[[#This Row],[Rok]],Kredyt!$I:$I))</f>
        <v>0</v>
      </c>
      <c r="R119" s="171">
        <f>IF(Tabela3[[#This Row],[Rok]]&gt;HoryzontInwestycyjny,0,SUMIF(Kredyt!$E:$E,Tabela3[[#This Row],[Rok]],Kredyt!$J:$J))</f>
        <v>0</v>
      </c>
      <c r="S119" s="172">
        <f>Tabela3[[#This Row],[Rata kredytu: odsetki]]+Tabela3[[#This Row],[Rata kredytu: kapitał]]</f>
        <v>0</v>
      </c>
      <c r="T119" s="169" cm="1">
        <f t="array" ref="T119">IF(Tabela3[[#This Row],[Rok]]&gt;HoryzontInwestycyjny,0,IFERROR(INDEX(Kredyt!$M:$M,11+Tabela3[[#This Row],[Rok]]*12) * UbezŻyć,""))</f>
        <v>0</v>
      </c>
      <c r="U119" s="155" cm="1">
        <f t="array" ref="U119">IF(Tabela3[[#This Row],[Rok]]&gt;HoryzontInwestycyjny,0,IF(CzasKredytu&gt;=Tabela3[[#This Row],[Rok]],IF(ZmianaKosztów="Tak",UbezMiesz* PRODUCT(1+J119:J119), UbezMiesz),""))</f>
        <v>0</v>
      </c>
      <c r="V119" s="155" cm="1">
        <f t="array" ref="V119">IF(Tabela3[[#This Row],[Rok]]&gt;HoryzontInwestycyjny,0,IF(ZmianaKosztów="Tak", PodatekOdNieruchomości * PRODUCT(1+J$54:J118), PodNie))</f>
        <v>0</v>
      </c>
      <c r="W119" s="155">
        <f>KosztyZarządzania*Tabela3[[#This Row],[Przychody z wynajmu]]</f>
        <v>0</v>
      </c>
      <c r="X119" s="155" cm="1">
        <f t="array" ref="X119">IF(Tabela3[[#This Row],[Rok]]&gt;HoryzontInwestycyjny,0,IF(ZmianaKosztów="Tak", InneKosztyRocznie* PRODUCT(1+J$55:J119), InneKosztyRocznie))</f>
        <v>0</v>
      </c>
      <c r="Y119" s="155">
        <f>SUM(Tabela3[[#This Row],[Cena mieszkania + remont początkowy]:[Inne koszty]])-Tabela3[[#This Row],[Rata kredytu]]</f>
        <v>0</v>
      </c>
      <c r="Z119" s="155">
        <f>IF(Tabela3[[#This Row],[Przychody z wynajmu]]&lt;=100000, Tabela3[[#This Row],[Przychody z wynajmu]]*MałyPodatek, 100000*MałyPodatek + (Tabela3[[#This Row],[Przychody z wynajmu]]-100000)*DużyPodatek)</f>
        <v>0</v>
      </c>
      <c r="AA119" s="155">
        <f>Tabela3[[#This Row],[Wydatki związane z najmem całkowite]]+Tabela3[[#This Row],[Podatek od przychodu]]</f>
        <v>0</v>
      </c>
      <c r="AB119" s="155">
        <f>IF(Tabela3[[#This Row],[Rok]]&gt;HoryzontInwestycyjny,0,Tabela3[[#This Row],[Przychody z wynajmu]]-Tabela3[[#This Row],[Wydatki związane z najmem całkowite]]-Tabela3[[#This Row],[Podatek od przychodu]])</f>
        <v>0</v>
      </c>
      <c r="AC119" s="155">
        <f>IF(Tabela3[[#This Row],[Rok]]&gt;HoryzontInwestycyjny,0,AC118+Tabela3[[#This Row],[Wynik z najmu netto rocznie]])</f>
        <v>0</v>
      </c>
      <c r="AD119" s="176" t="str">
        <f>IF(Tabela3[[#This Row],[Rok]]&gt;HoryzontInwestycyjny,"",IF(ZmianaWartościNieruchomości="Inflacyjnie",Inflacja,0))</f>
        <v/>
      </c>
      <c r="AE119" s="177" t="str">
        <f>IF(Tabela3[[#This Row],[Rok]]&gt;HoryzontInwestycyjny,"",StałyProcentZmianyWartościNieruchomości)</f>
        <v/>
      </c>
      <c r="AF119" s="178" t="str">
        <f>IF(Tabela3[[#This Row],[Rok]]&gt;HoryzontInwestycyjny,"",StałaKwotaZmianyWartościNieruchomości)</f>
        <v/>
      </c>
      <c r="AG119" s="155">
        <f>IF(Tabela3[[#This Row],[Rok]]&gt;HoryzontInwestycyjny,0,IF(ZmianaWartościNieruchomości="bez zmian",AG118,IF(ZmianaWartościNieruchomości="inflacyjnie",AG118*(1+Tabela3[[#This Row],[Inflacja3]]),IF(ZmianaWartościNieruchomości="stały %",AG118*(1+Tabela3[[#This Row],[Stały % zmiany warrtości]]),IF(ZmianaWartościNieruchomości="stała kwota",AG118+AF119,AG118)))))</f>
        <v>0</v>
      </c>
      <c r="AH119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19" s="177" cm="1">
        <f t="array" ref="AI119">Tabela3[[#This Row],[Wynik z najmu netto rocznie]]/IF(CzyKredyt="Tak",WydanaGotówka2,WydanaGotówka1)</f>
        <v>0</v>
      </c>
      <c r="AJ119" s="177" cm="1">
        <f t="array" ref="AJ119">Tabela3[[#This Row],[Wynik z najmu netto rocznie]]/IF(CzyKredyt="Tak",SumaKosztówPoczątkowychInwestycji,SumaKosztów)</f>
        <v>0</v>
      </c>
      <c r="AK119" s="155" cm="1">
        <f t="array" ref="AK119">IF(Tabela3[[#This Row],[Rok]]&gt;HoryzontInwestycyjny,0,-IF(CzyKredyt="Tak",WydanaGotówka2,WydanaGotówka1)+Tabela3[[#This Row],[Skumulowany wynik z najmu netto z najmu]])</f>
        <v>0</v>
      </c>
    </row>
    <row r="120" spans="3:37">
      <c r="C120" s="158">
        <v>67</v>
      </c>
      <c r="D120" s="152">
        <f t="shared" si="4"/>
        <v>0.02</v>
      </c>
      <c r="E120" s="152">
        <f t="shared" si="5"/>
        <v>0.04</v>
      </c>
      <c r="F120" s="167">
        <f t="shared" si="6"/>
        <v>150</v>
      </c>
      <c r="G120" s="151">
        <f>IF(Tabela3[[#This Row],[Rok]]&gt;HoryzontInwestycyjny,0,IF(ZmianaOdstępnego="bez zmian",G119,IF(ZmianaOdstępnego="inflacyjnie",G119*(1+Wyniki2!$D120),IF(ZmianaOdstępnego="stały %",G119*(1+Wyniki2!$E120),IF(ZmianaOdstępnego="stała kwota",G119+Wyniki2!$F120,)))))</f>
        <v>0</v>
      </c>
      <c r="H120" s="165">
        <f>IF(Tabela3[[#This Row],[Rok]]&gt;HoryzontInwestycyjny,0,MAX(0, MiesiąceNajmu - MAX(0, MAX(IFERROR(IF(MOD($C120, MałyRemont) = 0,Czas_MałyRemont, 0),0),IFERROR(IF(MOD($C120,DużyRemont) = 0,Czas_DużyRemont, 0),0)) - (12 -MiesiąceNajmu))))</f>
        <v>0</v>
      </c>
      <c r="I120" s="166">
        <f t="shared" si="7"/>
        <v>0</v>
      </c>
      <c r="J120" s="152" t="str">
        <f>IF(Tabela3[[#This Row],[Rok]]&gt;HoryzontInwestycyjny,"",IF(ZmianaKosztów="TAK",Inflacja,0))</f>
        <v/>
      </c>
      <c r="K120" s="155"/>
      <c r="L120" s="155"/>
      <c r="M120" s="155"/>
      <c r="N120" s="171" cm="1">
        <f t="array" ref="N120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20" s="171" cm="1">
        <f t="array" ref="O120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20" s="155" cm="1">
        <f t="array" ref="P120">IF(Tabela3[[#This Row],[Rok]]&gt;HoryzontInwestycyjny,0,IF(12-Tabela3[[#This Row],[Liczba wynajętych miesięcy w roku]]&gt;0, (12-Tabela3[[#This Row],[Liczba wynajętych miesięcy w roku]]) *CzynszWspólnoty* IF(ZmianaKosztów="Tak", PRODUCT(1+J$54:INDEX($J$54:J120, ROWS($D$54:D120)-1)), 1), 0))</f>
        <v>0</v>
      </c>
      <c r="Q120" s="170">
        <f>IF(Tabela3[[#This Row],[Rok]]&gt;HoryzontInwestycyjny,0,SUMIF(Kredyt!$E:$E,Tabela3[[#This Row],[Rok]],Kredyt!$I:$I))</f>
        <v>0</v>
      </c>
      <c r="R120" s="171">
        <f>IF(Tabela3[[#This Row],[Rok]]&gt;HoryzontInwestycyjny,0,SUMIF(Kredyt!$E:$E,Tabela3[[#This Row],[Rok]],Kredyt!$J:$J))</f>
        <v>0</v>
      </c>
      <c r="S120" s="155">
        <f>Tabela3[[#This Row],[Rata kredytu: odsetki]]+Tabela3[[#This Row],[Rata kredytu: kapitał]]</f>
        <v>0</v>
      </c>
      <c r="T120" s="169" cm="1">
        <f t="array" ref="T120">IF(Tabela3[[#This Row],[Rok]]&gt;HoryzontInwestycyjny,0,IFERROR(INDEX(Kredyt!$M:$M,11+Tabela3[[#This Row],[Rok]]*12) * UbezŻyć,""))</f>
        <v>0</v>
      </c>
      <c r="U120" s="155" cm="1">
        <f t="array" ref="U120">IF(Tabela3[[#This Row],[Rok]]&gt;HoryzontInwestycyjny,0,IF(CzasKredytu&gt;=Tabela3[[#This Row],[Rok]],IF(ZmianaKosztów="Tak",UbezMiesz* PRODUCT(1+J120:J120), UbezMiesz),""))</f>
        <v>0</v>
      </c>
      <c r="V120" s="155" cm="1">
        <f t="array" ref="V120">IF(Tabela3[[#This Row],[Rok]]&gt;HoryzontInwestycyjny,0,IF(ZmianaKosztów="Tak", PodatekOdNieruchomości * PRODUCT(1+J$54:J119), PodNie))</f>
        <v>0</v>
      </c>
      <c r="W120" s="155">
        <f>KosztyZarządzania*Tabela3[[#This Row],[Przychody z wynajmu]]</f>
        <v>0</v>
      </c>
      <c r="X120" s="155" cm="1">
        <f t="array" ref="X120">IF(Tabela3[[#This Row],[Rok]]&gt;HoryzontInwestycyjny,0,IF(ZmianaKosztów="Tak", InneKosztyRocznie* PRODUCT(1+J$55:J120), InneKosztyRocznie))</f>
        <v>0</v>
      </c>
      <c r="Y120" s="155">
        <f>SUM(Tabela3[[#This Row],[Cena mieszkania + remont początkowy]:[Inne koszty]])-Tabela3[[#This Row],[Rata kredytu]]</f>
        <v>0</v>
      </c>
      <c r="Z120" s="155">
        <f>IF(Tabela3[[#This Row],[Przychody z wynajmu]]&lt;=100000, Tabela3[[#This Row],[Przychody z wynajmu]]*MałyPodatek, 100000*MałyPodatek + (Tabela3[[#This Row],[Przychody z wynajmu]]-100000)*DużyPodatek)</f>
        <v>0</v>
      </c>
      <c r="AA120" s="155">
        <f>Tabela3[[#This Row],[Wydatki związane z najmem całkowite]]+Tabela3[[#This Row],[Podatek od przychodu]]</f>
        <v>0</v>
      </c>
      <c r="AB120" s="155">
        <f>IF(Tabela3[[#This Row],[Rok]]&gt;HoryzontInwestycyjny,0,Tabela3[[#This Row],[Przychody z wynajmu]]-Tabela3[[#This Row],[Wydatki związane z najmem całkowite]]-Tabela3[[#This Row],[Podatek od przychodu]])</f>
        <v>0</v>
      </c>
      <c r="AC120" s="155">
        <f>IF(Tabela3[[#This Row],[Rok]]&gt;HoryzontInwestycyjny,0,AC119+Tabela3[[#This Row],[Wynik z najmu netto rocznie]])</f>
        <v>0</v>
      </c>
      <c r="AD120" s="176" t="str">
        <f>IF(Tabela3[[#This Row],[Rok]]&gt;HoryzontInwestycyjny,"",IF(ZmianaWartościNieruchomości="Inflacyjnie",Inflacja,0))</f>
        <v/>
      </c>
      <c r="AE120" s="177" t="str">
        <f>IF(Tabela3[[#This Row],[Rok]]&gt;HoryzontInwestycyjny,"",StałyProcentZmianyWartościNieruchomości)</f>
        <v/>
      </c>
      <c r="AF120" s="178" t="str">
        <f>IF(Tabela3[[#This Row],[Rok]]&gt;HoryzontInwestycyjny,"",StałaKwotaZmianyWartościNieruchomości)</f>
        <v/>
      </c>
      <c r="AG120" s="155">
        <f>IF(Tabela3[[#This Row],[Rok]]&gt;HoryzontInwestycyjny,0,IF(ZmianaWartościNieruchomości="bez zmian",AG119,IF(ZmianaWartościNieruchomości="inflacyjnie",AG119*(1+Tabela3[[#This Row],[Inflacja3]]),IF(ZmianaWartościNieruchomości="stały %",AG119*(1+Tabela3[[#This Row],[Stały % zmiany warrtości]]),IF(ZmianaWartościNieruchomości="stała kwota",AG119+AF120,AG119)))))</f>
        <v>0</v>
      </c>
      <c r="AH120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20" s="177" cm="1">
        <f t="array" ref="AI120">Tabela3[[#This Row],[Wynik z najmu netto rocznie]]/IF(CzyKredyt="Tak",WydanaGotówka2,WydanaGotówka1)</f>
        <v>0</v>
      </c>
      <c r="AJ120" s="177" cm="1">
        <f t="array" ref="AJ120">Tabela3[[#This Row],[Wynik z najmu netto rocznie]]/IF(CzyKredyt="Tak",SumaKosztówPoczątkowychInwestycji,SumaKosztów)</f>
        <v>0</v>
      </c>
      <c r="AK120" s="155" cm="1">
        <f t="array" ref="AK120">IF(Tabela3[[#This Row],[Rok]]&gt;HoryzontInwestycyjny,0,-IF(CzyKredyt="Tak",WydanaGotówka2,WydanaGotówka1)+Tabela3[[#This Row],[Skumulowany wynik z najmu netto z najmu]])</f>
        <v>0</v>
      </c>
    </row>
    <row r="121" spans="3:37">
      <c r="C121" s="168">
        <v>68</v>
      </c>
      <c r="D121" s="152">
        <f t="shared" si="4"/>
        <v>0.02</v>
      </c>
      <c r="E121" s="152">
        <f t="shared" si="5"/>
        <v>0.04</v>
      </c>
      <c r="F121" s="167">
        <f t="shared" si="6"/>
        <v>150</v>
      </c>
      <c r="G121" s="151">
        <f>IF(Tabela3[[#This Row],[Rok]]&gt;HoryzontInwestycyjny,0,IF(ZmianaOdstępnego="bez zmian",G120,IF(ZmianaOdstępnego="inflacyjnie",G120*(1+Wyniki2!$D121),IF(ZmianaOdstępnego="stały %",G120*(1+Wyniki2!$E121),IF(ZmianaOdstępnego="stała kwota",G120+Wyniki2!$F121,)))))</f>
        <v>0</v>
      </c>
      <c r="H121" s="165">
        <f>IF(Tabela3[[#This Row],[Rok]]&gt;HoryzontInwestycyjny,0,MAX(0, MiesiąceNajmu - MAX(0, MAX(IFERROR(IF(MOD($C121, MałyRemont) = 0,Czas_MałyRemont, 0),0),IFERROR(IF(MOD($C121,DużyRemont) = 0,Czas_DużyRemont, 0),0)) - (12 -MiesiąceNajmu))))</f>
        <v>0</v>
      </c>
      <c r="I121" s="166">
        <f t="shared" si="7"/>
        <v>0</v>
      </c>
      <c r="J121" s="152" t="str">
        <f>IF(Tabela3[[#This Row],[Rok]]&gt;HoryzontInwestycyjny,"",IF(ZmianaKosztów="TAK",Inflacja,0))</f>
        <v/>
      </c>
      <c r="K121" s="172"/>
      <c r="L121" s="172"/>
      <c r="M121" s="172"/>
      <c r="N121" s="171" cm="1">
        <f t="array" ref="N121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21" s="171" cm="1">
        <f t="array" ref="O121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21" s="155" cm="1">
        <f t="array" ref="P121">IF(Tabela3[[#This Row],[Rok]]&gt;HoryzontInwestycyjny,0,IF(12-Tabela3[[#This Row],[Liczba wynajętych miesięcy w roku]]&gt;0, (12-Tabela3[[#This Row],[Liczba wynajętych miesięcy w roku]]) *CzynszWspólnoty* IF(ZmianaKosztów="Tak", PRODUCT(1+J$54:INDEX($J$54:J121, ROWS($D$54:D121)-1)), 1), 0))</f>
        <v>0</v>
      </c>
      <c r="Q121" s="170">
        <f>IF(Tabela3[[#This Row],[Rok]]&gt;HoryzontInwestycyjny,0,SUMIF(Kredyt!$E:$E,Tabela3[[#This Row],[Rok]],Kredyt!$I:$I))</f>
        <v>0</v>
      </c>
      <c r="R121" s="171">
        <f>IF(Tabela3[[#This Row],[Rok]]&gt;HoryzontInwestycyjny,0,SUMIF(Kredyt!$E:$E,Tabela3[[#This Row],[Rok]],Kredyt!$J:$J))</f>
        <v>0</v>
      </c>
      <c r="S121" s="172">
        <f>Tabela3[[#This Row],[Rata kredytu: odsetki]]+Tabela3[[#This Row],[Rata kredytu: kapitał]]</f>
        <v>0</v>
      </c>
      <c r="T121" s="169" cm="1">
        <f t="array" ref="T121">IF(Tabela3[[#This Row],[Rok]]&gt;HoryzontInwestycyjny,0,IFERROR(INDEX(Kredyt!$M:$M,11+Tabela3[[#This Row],[Rok]]*12) * UbezŻyć,""))</f>
        <v>0</v>
      </c>
      <c r="U121" s="155" cm="1">
        <f t="array" ref="U121">IF(Tabela3[[#This Row],[Rok]]&gt;HoryzontInwestycyjny,0,IF(CzasKredytu&gt;=Tabela3[[#This Row],[Rok]],IF(ZmianaKosztów="Tak",UbezMiesz* PRODUCT(1+J121:J121), UbezMiesz),""))</f>
        <v>0</v>
      </c>
      <c r="V121" s="155" cm="1">
        <f t="array" ref="V121">IF(Tabela3[[#This Row],[Rok]]&gt;HoryzontInwestycyjny,0,IF(ZmianaKosztów="Tak", PodatekOdNieruchomości * PRODUCT(1+J$54:J120), PodNie))</f>
        <v>0</v>
      </c>
      <c r="W121" s="155">
        <f>KosztyZarządzania*Tabela3[[#This Row],[Przychody z wynajmu]]</f>
        <v>0</v>
      </c>
      <c r="X121" s="155" cm="1">
        <f t="array" ref="X121">IF(Tabela3[[#This Row],[Rok]]&gt;HoryzontInwestycyjny,0,IF(ZmianaKosztów="Tak", InneKosztyRocznie* PRODUCT(1+J$55:J121), InneKosztyRocznie))</f>
        <v>0</v>
      </c>
      <c r="Y121" s="155">
        <f>SUM(Tabela3[[#This Row],[Cena mieszkania + remont początkowy]:[Inne koszty]])-Tabela3[[#This Row],[Rata kredytu]]</f>
        <v>0</v>
      </c>
      <c r="Z121" s="155">
        <f>IF(Tabela3[[#This Row],[Przychody z wynajmu]]&lt;=100000, Tabela3[[#This Row],[Przychody z wynajmu]]*MałyPodatek, 100000*MałyPodatek + (Tabela3[[#This Row],[Przychody z wynajmu]]-100000)*DużyPodatek)</f>
        <v>0</v>
      </c>
      <c r="AA121" s="155">
        <f>Tabela3[[#This Row],[Wydatki związane z najmem całkowite]]+Tabela3[[#This Row],[Podatek od przychodu]]</f>
        <v>0</v>
      </c>
      <c r="AB121" s="155">
        <f>IF(Tabela3[[#This Row],[Rok]]&gt;HoryzontInwestycyjny,0,Tabela3[[#This Row],[Przychody z wynajmu]]-Tabela3[[#This Row],[Wydatki związane z najmem całkowite]]-Tabela3[[#This Row],[Podatek od przychodu]])</f>
        <v>0</v>
      </c>
      <c r="AC121" s="155">
        <f>IF(Tabela3[[#This Row],[Rok]]&gt;HoryzontInwestycyjny,0,AC120+Tabela3[[#This Row],[Wynik z najmu netto rocznie]])</f>
        <v>0</v>
      </c>
      <c r="AD121" s="176" t="str">
        <f>IF(Tabela3[[#This Row],[Rok]]&gt;HoryzontInwestycyjny,"",IF(ZmianaWartościNieruchomości="Inflacyjnie",Inflacja,0))</f>
        <v/>
      </c>
      <c r="AE121" s="177" t="str">
        <f>IF(Tabela3[[#This Row],[Rok]]&gt;HoryzontInwestycyjny,"",StałyProcentZmianyWartościNieruchomości)</f>
        <v/>
      </c>
      <c r="AF121" s="178" t="str">
        <f>IF(Tabela3[[#This Row],[Rok]]&gt;HoryzontInwestycyjny,"",StałaKwotaZmianyWartościNieruchomości)</f>
        <v/>
      </c>
      <c r="AG121" s="155">
        <f>IF(Tabela3[[#This Row],[Rok]]&gt;HoryzontInwestycyjny,0,IF(ZmianaWartościNieruchomości="bez zmian",AG120,IF(ZmianaWartościNieruchomości="inflacyjnie",AG120*(1+Tabela3[[#This Row],[Inflacja3]]),IF(ZmianaWartościNieruchomości="stały %",AG120*(1+Tabela3[[#This Row],[Stały % zmiany warrtości]]),IF(ZmianaWartościNieruchomości="stała kwota",AG120+AF121,AG120)))))</f>
        <v>0</v>
      </c>
      <c r="AH121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21" s="177" cm="1">
        <f t="array" ref="AI121">Tabela3[[#This Row],[Wynik z najmu netto rocznie]]/IF(CzyKredyt="Tak",WydanaGotówka2,WydanaGotówka1)</f>
        <v>0</v>
      </c>
      <c r="AJ121" s="177" cm="1">
        <f t="array" ref="AJ121">Tabela3[[#This Row],[Wynik z najmu netto rocznie]]/IF(CzyKredyt="Tak",SumaKosztówPoczątkowychInwestycji,SumaKosztów)</f>
        <v>0</v>
      </c>
      <c r="AK121" s="155" cm="1">
        <f t="array" ref="AK121">IF(Tabela3[[#This Row],[Rok]]&gt;HoryzontInwestycyjny,0,-IF(CzyKredyt="Tak",WydanaGotówka2,WydanaGotówka1)+Tabela3[[#This Row],[Skumulowany wynik z najmu netto z najmu]])</f>
        <v>0</v>
      </c>
    </row>
    <row r="122" spans="3:37">
      <c r="C122" s="158">
        <v>69</v>
      </c>
      <c r="D122" s="152">
        <f t="shared" si="4"/>
        <v>0.02</v>
      </c>
      <c r="E122" s="152">
        <f t="shared" si="5"/>
        <v>0.04</v>
      </c>
      <c r="F122" s="167">
        <f t="shared" si="6"/>
        <v>150</v>
      </c>
      <c r="G122" s="151">
        <f>IF(Tabela3[[#This Row],[Rok]]&gt;HoryzontInwestycyjny,0,IF(ZmianaOdstępnego="bez zmian",G121,IF(ZmianaOdstępnego="inflacyjnie",G121*(1+Wyniki2!$D122),IF(ZmianaOdstępnego="stały %",G121*(1+Wyniki2!$E122),IF(ZmianaOdstępnego="stała kwota",G121+Wyniki2!$F122,)))))</f>
        <v>0</v>
      </c>
      <c r="H122" s="165">
        <f>IF(Tabela3[[#This Row],[Rok]]&gt;HoryzontInwestycyjny,0,MAX(0, MiesiąceNajmu - MAX(0, MAX(IFERROR(IF(MOD($C122, MałyRemont) = 0,Czas_MałyRemont, 0),0),IFERROR(IF(MOD($C122,DużyRemont) = 0,Czas_DużyRemont, 0),0)) - (12 -MiesiąceNajmu))))</f>
        <v>0</v>
      </c>
      <c r="I122" s="166">
        <f t="shared" ref="I122:I153" si="8">G122*H122</f>
        <v>0</v>
      </c>
      <c r="J122" s="152" t="str">
        <f>IF(Tabela3[[#This Row],[Rok]]&gt;HoryzontInwestycyjny,"",IF(ZmianaKosztów="TAK",Inflacja,0))</f>
        <v/>
      </c>
      <c r="K122" s="155"/>
      <c r="L122" s="155"/>
      <c r="M122" s="155"/>
      <c r="N122" s="171" cm="1">
        <f t="array" ref="N122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22" s="171" cm="1">
        <f t="array" ref="O122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22" s="155" cm="1">
        <f t="array" ref="P122">IF(Tabela3[[#This Row],[Rok]]&gt;HoryzontInwestycyjny,0,IF(12-Tabela3[[#This Row],[Liczba wynajętych miesięcy w roku]]&gt;0, (12-Tabela3[[#This Row],[Liczba wynajętych miesięcy w roku]]) *CzynszWspólnoty* IF(ZmianaKosztów="Tak", PRODUCT(1+J$54:INDEX($J$54:J122, ROWS($D$54:D122)-1)), 1), 0))</f>
        <v>0</v>
      </c>
      <c r="Q122" s="170">
        <f>IF(Tabela3[[#This Row],[Rok]]&gt;HoryzontInwestycyjny,0,SUMIF(Kredyt!$E:$E,Tabela3[[#This Row],[Rok]],Kredyt!$I:$I))</f>
        <v>0</v>
      </c>
      <c r="R122" s="171">
        <f>IF(Tabela3[[#This Row],[Rok]]&gt;HoryzontInwestycyjny,0,SUMIF(Kredyt!$E:$E,Tabela3[[#This Row],[Rok]],Kredyt!$J:$J))</f>
        <v>0</v>
      </c>
      <c r="S122" s="155">
        <f>Tabela3[[#This Row],[Rata kredytu: odsetki]]+Tabela3[[#This Row],[Rata kredytu: kapitał]]</f>
        <v>0</v>
      </c>
      <c r="T122" s="169" cm="1">
        <f t="array" ref="T122">IF(Tabela3[[#This Row],[Rok]]&gt;HoryzontInwestycyjny,0,IFERROR(INDEX(Kredyt!$M:$M,11+Tabela3[[#This Row],[Rok]]*12) * UbezŻyć,""))</f>
        <v>0</v>
      </c>
      <c r="U122" s="155" cm="1">
        <f t="array" ref="U122">IF(Tabela3[[#This Row],[Rok]]&gt;HoryzontInwestycyjny,0,IF(CzasKredytu&gt;=Tabela3[[#This Row],[Rok]],IF(ZmianaKosztów="Tak",UbezMiesz* PRODUCT(1+J122:J122), UbezMiesz),""))</f>
        <v>0</v>
      </c>
      <c r="V122" s="155" cm="1">
        <f t="array" ref="V122">IF(Tabela3[[#This Row],[Rok]]&gt;HoryzontInwestycyjny,0,IF(ZmianaKosztów="Tak", PodatekOdNieruchomości * PRODUCT(1+J$54:J121), PodNie))</f>
        <v>0</v>
      </c>
      <c r="W122" s="155">
        <f>KosztyZarządzania*Tabela3[[#This Row],[Przychody z wynajmu]]</f>
        <v>0</v>
      </c>
      <c r="X122" s="155" cm="1">
        <f t="array" ref="X122">IF(Tabela3[[#This Row],[Rok]]&gt;HoryzontInwestycyjny,0,IF(ZmianaKosztów="Tak", InneKosztyRocznie* PRODUCT(1+J$55:J122), InneKosztyRocznie))</f>
        <v>0</v>
      </c>
      <c r="Y122" s="155">
        <f>SUM(Tabela3[[#This Row],[Cena mieszkania + remont początkowy]:[Inne koszty]])-Tabela3[[#This Row],[Rata kredytu]]</f>
        <v>0</v>
      </c>
      <c r="Z122" s="155">
        <f>IF(Tabela3[[#This Row],[Przychody z wynajmu]]&lt;=100000, Tabela3[[#This Row],[Przychody z wynajmu]]*MałyPodatek, 100000*MałyPodatek + (Tabela3[[#This Row],[Przychody z wynajmu]]-100000)*DużyPodatek)</f>
        <v>0</v>
      </c>
      <c r="AA122" s="155">
        <f>Tabela3[[#This Row],[Wydatki związane z najmem całkowite]]+Tabela3[[#This Row],[Podatek od przychodu]]</f>
        <v>0</v>
      </c>
      <c r="AB122" s="155">
        <f>IF(Tabela3[[#This Row],[Rok]]&gt;HoryzontInwestycyjny,0,Tabela3[[#This Row],[Przychody z wynajmu]]-Tabela3[[#This Row],[Wydatki związane z najmem całkowite]]-Tabela3[[#This Row],[Podatek od przychodu]])</f>
        <v>0</v>
      </c>
      <c r="AC122" s="155">
        <f>IF(Tabela3[[#This Row],[Rok]]&gt;HoryzontInwestycyjny,0,AC121+Tabela3[[#This Row],[Wynik z najmu netto rocznie]])</f>
        <v>0</v>
      </c>
      <c r="AD122" s="176" t="str">
        <f>IF(Tabela3[[#This Row],[Rok]]&gt;HoryzontInwestycyjny,"",IF(ZmianaWartościNieruchomości="Inflacyjnie",Inflacja,0))</f>
        <v/>
      </c>
      <c r="AE122" s="177" t="str">
        <f>IF(Tabela3[[#This Row],[Rok]]&gt;HoryzontInwestycyjny,"",StałyProcentZmianyWartościNieruchomości)</f>
        <v/>
      </c>
      <c r="AF122" s="178" t="str">
        <f>IF(Tabela3[[#This Row],[Rok]]&gt;HoryzontInwestycyjny,"",StałaKwotaZmianyWartościNieruchomości)</f>
        <v/>
      </c>
      <c r="AG122" s="155">
        <f>IF(Tabela3[[#This Row],[Rok]]&gt;HoryzontInwestycyjny,0,IF(ZmianaWartościNieruchomości="bez zmian",AG121,IF(ZmianaWartościNieruchomości="inflacyjnie",AG121*(1+Tabela3[[#This Row],[Inflacja3]]),IF(ZmianaWartościNieruchomości="stały %",AG121*(1+Tabela3[[#This Row],[Stały % zmiany warrtości]]),IF(ZmianaWartościNieruchomości="stała kwota",AG121+AF122,AG121)))))</f>
        <v>0</v>
      </c>
      <c r="AH122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22" s="177" cm="1">
        <f t="array" ref="AI122">Tabela3[[#This Row],[Wynik z najmu netto rocznie]]/IF(CzyKredyt="Tak",WydanaGotówka2,WydanaGotówka1)</f>
        <v>0</v>
      </c>
      <c r="AJ122" s="177" cm="1">
        <f t="array" ref="AJ122">Tabela3[[#This Row],[Wynik z najmu netto rocznie]]/IF(CzyKredyt="Tak",SumaKosztówPoczątkowychInwestycji,SumaKosztów)</f>
        <v>0</v>
      </c>
      <c r="AK122" s="155" cm="1">
        <f t="array" ref="AK122">IF(Tabela3[[#This Row],[Rok]]&gt;HoryzontInwestycyjny,0,-IF(CzyKredyt="Tak",WydanaGotówka2,WydanaGotówka1)+Tabela3[[#This Row],[Skumulowany wynik z najmu netto z najmu]])</f>
        <v>0</v>
      </c>
    </row>
    <row r="123" spans="3:37">
      <c r="C123" s="168">
        <v>70</v>
      </c>
      <c r="D123" s="152">
        <f t="shared" si="4"/>
        <v>0.02</v>
      </c>
      <c r="E123" s="152">
        <f t="shared" si="5"/>
        <v>0.04</v>
      </c>
      <c r="F123" s="167">
        <f t="shared" si="6"/>
        <v>150</v>
      </c>
      <c r="G123" s="151">
        <f>IF(Tabela3[[#This Row],[Rok]]&gt;HoryzontInwestycyjny,0,IF(ZmianaOdstępnego="bez zmian",G122,IF(ZmianaOdstępnego="inflacyjnie",G122*(1+Wyniki2!$D123),IF(ZmianaOdstępnego="stały %",G122*(1+Wyniki2!$E123),IF(ZmianaOdstępnego="stała kwota",G122+Wyniki2!$F123,)))))</f>
        <v>0</v>
      </c>
      <c r="H123" s="165">
        <f>IF(Tabela3[[#This Row],[Rok]]&gt;HoryzontInwestycyjny,0,MAX(0, MiesiąceNajmu - MAX(0, MAX(IFERROR(IF(MOD($C123, MałyRemont) = 0,Czas_MałyRemont, 0),0),IFERROR(IF(MOD($C123,DużyRemont) = 0,Czas_DużyRemont, 0),0)) - (12 -MiesiąceNajmu))))</f>
        <v>0</v>
      </c>
      <c r="I123" s="166">
        <f t="shared" si="8"/>
        <v>0</v>
      </c>
      <c r="J123" s="152" t="str">
        <f>IF(Tabela3[[#This Row],[Rok]]&gt;HoryzontInwestycyjny,"",IF(ZmianaKosztów="TAK",Inflacja,0))</f>
        <v/>
      </c>
      <c r="K123" s="172"/>
      <c r="L123" s="172"/>
      <c r="M123" s="172"/>
      <c r="N123" s="171" cm="1">
        <f t="array" ref="N123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23" s="171" cm="1">
        <f t="array" ref="O123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23" s="155" cm="1">
        <f t="array" ref="P123">IF(Tabela3[[#This Row],[Rok]]&gt;HoryzontInwestycyjny,0,IF(12-Tabela3[[#This Row],[Liczba wynajętych miesięcy w roku]]&gt;0, (12-Tabela3[[#This Row],[Liczba wynajętych miesięcy w roku]]) *CzynszWspólnoty* IF(ZmianaKosztów="Tak", PRODUCT(1+J$54:INDEX($J$54:J123, ROWS($D$54:D123)-1)), 1), 0))</f>
        <v>0</v>
      </c>
      <c r="Q123" s="170">
        <f>IF(Tabela3[[#This Row],[Rok]]&gt;HoryzontInwestycyjny,0,SUMIF(Kredyt!$E:$E,Tabela3[[#This Row],[Rok]],Kredyt!$I:$I))</f>
        <v>0</v>
      </c>
      <c r="R123" s="171">
        <f>IF(Tabela3[[#This Row],[Rok]]&gt;HoryzontInwestycyjny,0,SUMIF(Kredyt!$E:$E,Tabela3[[#This Row],[Rok]],Kredyt!$J:$J))</f>
        <v>0</v>
      </c>
      <c r="S123" s="172">
        <f>Tabela3[[#This Row],[Rata kredytu: odsetki]]+Tabela3[[#This Row],[Rata kredytu: kapitał]]</f>
        <v>0</v>
      </c>
      <c r="T123" s="169" cm="1">
        <f t="array" ref="T123">IF(Tabela3[[#This Row],[Rok]]&gt;HoryzontInwestycyjny,0,IFERROR(INDEX(Kredyt!$M:$M,11+Tabela3[[#This Row],[Rok]]*12) * UbezŻyć,""))</f>
        <v>0</v>
      </c>
      <c r="U123" s="155" cm="1">
        <f t="array" ref="U123">IF(Tabela3[[#This Row],[Rok]]&gt;HoryzontInwestycyjny,0,IF(CzasKredytu&gt;=Tabela3[[#This Row],[Rok]],IF(ZmianaKosztów="Tak",UbezMiesz* PRODUCT(1+J123:J123), UbezMiesz),""))</f>
        <v>0</v>
      </c>
      <c r="V123" s="155" cm="1">
        <f t="array" ref="V123">IF(Tabela3[[#This Row],[Rok]]&gt;HoryzontInwestycyjny,0,IF(ZmianaKosztów="Tak", PodatekOdNieruchomości * PRODUCT(1+J$54:J122), PodNie))</f>
        <v>0</v>
      </c>
      <c r="W123" s="155">
        <f>KosztyZarządzania*Tabela3[[#This Row],[Przychody z wynajmu]]</f>
        <v>0</v>
      </c>
      <c r="X123" s="155" cm="1">
        <f t="array" ref="X123">IF(Tabela3[[#This Row],[Rok]]&gt;HoryzontInwestycyjny,0,IF(ZmianaKosztów="Tak", InneKosztyRocznie* PRODUCT(1+J$55:J123), InneKosztyRocznie))</f>
        <v>0</v>
      </c>
      <c r="Y123" s="155">
        <f>SUM(Tabela3[[#This Row],[Cena mieszkania + remont początkowy]:[Inne koszty]])-Tabela3[[#This Row],[Rata kredytu]]</f>
        <v>0</v>
      </c>
      <c r="Z123" s="155">
        <f>IF(Tabela3[[#This Row],[Przychody z wynajmu]]&lt;=100000, Tabela3[[#This Row],[Przychody z wynajmu]]*MałyPodatek, 100000*MałyPodatek + (Tabela3[[#This Row],[Przychody z wynajmu]]-100000)*DużyPodatek)</f>
        <v>0</v>
      </c>
      <c r="AA123" s="155">
        <f>Tabela3[[#This Row],[Wydatki związane z najmem całkowite]]+Tabela3[[#This Row],[Podatek od przychodu]]</f>
        <v>0</v>
      </c>
      <c r="AB123" s="155">
        <f>IF(Tabela3[[#This Row],[Rok]]&gt;HoryzontInwestycyjny,0,Tabela3[[#This Row],[Przychody z wynajmu]]-Tabela3[[#This Row],[Wydatki związane z najmem całkowite]]-Tabela3[[#This Row],[Podatek od przychodu]])</f>
        <v>0</v>
      </c>
      <c r="AC123" s="155">
        <f>IF(Tabela3[[#This Row],[Rok]]&gt;HoryzontInwestycyjny,0,AC122+Tabela3[[#This Row],[Wynik z najmu netto rocznie]])</f>
        <v>0</v>
      </c>
      <c r="AD123" s="176" t="str">
        <f>IF(Tabela3[[#This Row],[Rok]]&gt;HoryzontInwestycyjny,"",IF(ZmianaWartościNieruchomości="Inflacyjnie",Inflacja,0))</f>
        <v/>
      </c>
      <c r="AE123" s="177" t="str">
        <f>IF(Tabela3[[#This Row],[Rok]]&gt;HoryzontInwestycyjny,"",StałyProcentZmianyWartościNieruchomości)</f>
        <v/>
      </c>
      <c r="AF123" s="178" t="str">
        <f>IF(Tabela3[[#This Row],[Rok]]&gt;HoryzontInwestycyjny,"",StałaKwotaZmianyWartościNieruchomości)</f>
        <v/>
      </c>
      <c r="AG123" s="155">
        <f>IF(Tabela3[[#This Row],[Rok]]&gt;HoryzontInwestycyjny,0,IF(ZmianaWartościNieruchomości="bez zmian",AG122,IF(ZmianaWartościNieruchomości="inflacyjnie",AG122*(1+Tabela3[[#This Row],[Inflacja3]]),IF(ZmianaWartościNieruchomości="stały %",AG122*(1+Tabela3[[#This Row],[Stały % zmiany warrtości]]),IF(ZmianaWartościNieruchomości="stała kwota",AG122+AF123,AG122)))))</f>
        <v>0</v>
      </c>
      <c r="AH123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23" s="177" cm="1">
        <f t="array" ref="AI123">Tabela3[[#This Row],[Wynik z najmu netto rocznie]]/IF(CzyKredyt="Tak",WydanaGotówka2,WydanaGotówka1)</f>
        <v>0</v>
      </c>
      <c r="AJ123" s="177" cm="1">
        <f t="array" ref="AJ123">Tabela3[[#This Row],[Wynik z najmu netto rocznie]]/IF(CzyKredyt="Tak",SumaKosztówPoczątkowychInwestycji,SumaKosztów)</f>
        <v>0</v>
      </c>
      <c r="AK123" s="155" cm="1">
        <f t="array" ref="AK123">IF(Tabela3[[#This Row],[Rok]]&gt;HoryzontInwestycyjny,0,-IF(CzyKredyt="Tak",WydanaGotówka2,WydanaGotówka1)+Tabela3[[#This Row],[Skumulowany wynik z najmu netto z najmu]])</f>
        <v>0</v>
      </c>
    </row>
    <row r="124" spans="3:37">
      <c r="C124" s="158">
        <v>71</v>
      </c>
      <c r="D124" s="152">
        <f t="shared" si="4"/>
        <v>0.02</v>
      </c>
      <c r="E124" s="152">
        <f t="shared" si="5"/>
        <v>0.04</v>
      </c>
      <c r="F124" s="167">
        <f t="shared" si="6"/>
        <v>150</v>
      </c>
      <c r="G124" s="151">
        <f>IF(Tabela3[[#This Row],[Rok]]&gt;HoryzontInwestycyjny,0,IF(ZmianaOdstępnego="bez zmian",G123,IF(ZmianaOdstępnego="inflacyjnie",G123*(1+Wyniki2!$D124),IF(ZmianaOdstępnego="stały %",G123*(1+Wyniki2!$E124),IF(ZmianaOdstępnego="stała kwota",G123+Wyniki2!$F124,)))))</f>
        <v>0</v>
      </c>
      <c r="H124" s="165">
        <f>IF(Tabela3[[#This Row],[Rok]]&gt;HoryzontInwestycyjny,0,MAX(0, MiesiąceNajmu - MAX(0, MAX(IFERROR(IF(MOD($C124, MałyRemont) = 0,Czas_MałyRemont, 0),0),IFERROR(IF(MOD($C124,DużyRemont) = 0,Czas_DużyRemont, 0),0)) - (12 -MiesiąceNajmu))))</f>
        <v>0</v>
      </c>
      <c r="I124" s="166">
        <f t="shared" si="8"/>
        <v>0</v>
      </c>
      <c r="J124" s="152" t="str">
        <f>IF(Tabela3[[#This Row],[Rok]]&gt;HoryzontInwestycyjny,"",IF(ZmianaKosztów="TAK",Inflacja,0))</f>
        <v/>
      </c>
      <c r="K124" s="155"/>
      <c r="L124" s="155"/>
      <c r="M124" s="155"/>
      <c r="N124" s="171" cm="1">
        <f t="array" ref="N124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24" s="171" cm="1">
        <f t="array" ref="O124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24" s="155" cm="1">
        <f t="array" ref="P124">IF(Tabela3[[#This Row],[Rok]]&gt;HoryzontInwestycyjny,0,IF(12-Tabela3[[#This Row],[Liczba wynajętych miesięcy w roku]]&gt;0, (12-Tabela3[[#This Row],[Liczba wynajętych miesięcy w roku]]) *CzynszWspólnoty* IF(ZmianaKosztów="Tak", PRODUCT(1+J$54:INDEX($J$54:J124, ROWS($D$54:D124)-1)), 1), 0))</f>
        <v>0</v>
      </c>
      <c r="Q124" s="170">
        <f>IF(Tabela3[[#This Row],[Rok]]&gt;HoryzontInwestycyjny,0,SUMIF(Kredyt!$E:$E,Tabela3[[#This Row],[Rok]],Kredyt!$I:$I))</f>
        <v>0</v>
      </c>
      <c r="R124" s="171">
        <f>IF(Tabela3[[#This Row],[Rok]]&gt;HoryzontInwestycyjny,0,SUMIF(Kredyt!$E:$E,Tabela3[[#This Row],[Rok]],Kredyt!$J:$J))</f>
        <v>0</v>
      </c>
      <c r="S124" s="155">
        <f>Tabela3[[#This Row],[Rata kredytu: odsetki]]+Tabela3[[#This Row],[Rata kredytu: kapitał]]</f>
        <v>0</v>
      </c>
      <c r="T124" s="169" cm="1">
        <f t="array" ref="T124">IF(Tabela3[[#This Row],[Rok]]&gt;HoryzontInwestycyjny,0,IFERROR(INDEX(Kredyt!$M:$M,11+Tabela3[[#This Row],[Rok]]*12) * UbezŻyć,""))</f>
        <v>0</v>
      </c>
      <c r="U124" s="155" cm="1">
        <f t="array" ref="U124">IF(Tabela3[[#This Row],[Rok]]&gt;HoryzontInwestycyjny,0,IF(CzasKredytu&gt;=Tabela3[[#This Row],[Rok]],IF(ZmianaKosztów="Tak",UbezMiesz* PRODUCT(1+J124:J124), UbezMiesz),""))</f>
        <v>0</v>
      </c>
      <c r="V124" s="155" cm="1">
        <f t="array" ref="V124">IF(Tabela3[[#This Row],[Rok]]&gt;HoryzontInwestycyjny,0,IF(ZmianaKosztów="Tak", PodatekOdNieruchomości * PRODUCT(1+J$54:J123), PodNie))</f>
        <v>0</v>
      </c>
      <c r="W124" s="155">
        <f>KosztyZarządzania*Tabela3[[#This Row],[Przychody z wynajmu]]</f>
        <v>0</v>
      </c>
      <c r="X124" s="155" cm="1">
        <f t="array" ref="X124">IF(Tabela3[[#This Row],[Rok]]&gt;HoryzontInwestycyjny,0,IF(ZmianaKosztów="Tak", InneKosztyRocznie* PRODUCT(1+J$55:J124), InneKosztyRocznie))</f>
        <v>0</v>
      </c>
      <c r="Y124" s="155">
        <f>SUM(Tabela3[[#This Row],[Cena mieszkania + remont początkowy]:[Inne koszty]])-Tabela3[[#This Row],[Rata kredytu]]</f>
        <v>0</v>
      </c>
      <c r="Z124" s="155">
        <f>IF(Tabela3[[#This Row],[Przychody z wynajmu]]&lt;=100000, Tabela3[[#This Row],[Przychody z wynajmu]]*MałyPodatek, 100000*MałyPodatek + (Tabela3[[#This Row],[Przychody z wynajmu]]-100000)*DużyPodatek)</f>
        <v>0</v>
      </c>
      <c r="AA124" s="155">
        <f>Tabela3[[#This Row],[Wydatki związane z najmem całkowite]]+Tabela3[[#This Row],[Podatek od przychodu]]</f>
        <v>0</v>
      </c>
      <c r="AB124" s="155">
        <f>IF(Tabela3[[#This Row],[Rok]]&gt;HoryzontInwestycyjny,0,Tabela3[[#This Row],[Przychody z wynajmu]]-Tabela3[[#This Row],[Wydatki związane z najmem całkowite]]-Tabela3[[#This Row],[Podatek od przychodu]])</f>
        <v>0</v>
      </c>
      <c r="AC124" s="155">
        <f>IF(Tabela3[[#This Row],[Rok]]&gt;HoryzontInwestycyjny,0,AC123+Tabela3[[#This Row],[Wynik z najmu netto rocznie]])</f>
        <v>0</v>
      </c>
      <c r="AD124" s="176" t="str">
        <f>IF(Tabela3[[#This Row],[Rok]]&gt;HoryzontInwestycyjny,"",IF(ZmianaWartościNieruchomości="Inflacyjnie",Inflacja,0))</f>
        <v/>
      </c>
      <c r="AE124" s="177" t="str">
        <f>IF(Tabela3[[#This Row],[Rok]]&gt;HoryzontInwestycyjny,"",StałyProcentZmianyWartościNieruchomości)</f>
        <v/>
      </c>
      <c r="AF124" s="178" t="str">
        <f>IF(Tabela3[[#This Row],[Rok]]&gt;HoryzontInwestycyjny,"",StałaKwotaZmianyWartościNieruchomości)</f>
        <v/>
      </c>
      <c r="AG124" s="155">
        <f>IF(Tabela3[[#This Row],[Rok]]&gt;HoryzontInwestycyjny,0,IF(ZmianaWartościNieruchomości="bez zmian",AG123,IF(ZmianaWartościNieruchomości="inflacyjnie",AG123*(1+Tabela3[[#This Row],[Inflacja3]]),IF(ZmianaWartościNieruchomości="stały %",AG123*(1+Tabela3[[#This Row],[Stały % zmiany warrtości]]),IF(ZmianaWartościNieruchomości="stała kwota",AG123+AF124,AG123)))))</f>
        <v>0</v>
      </c>
      <c r="AH124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24" s="177" cm="1">
        <f t="array" ref="AI124">Tabela3[[#This Row],[Wynik z najmu netto rocznie]]/IF(CzyKredyt="Tak",WydanaGotówka2,WydanaGotówka1)</f>
        <v>0</v>
      </c>
      <c r="AJ124" s="177" cm="1">
        <f t="array" ref="AJ124">Tabela3[[#This Row],[Wynik z najmu netto rocznie]]/IF(CzyKredyt="Tak",SumaKosztówPoczątkowychInwestycji,SumaKosztów)</f>
        <v>0</v>
      </c>
      <c r="AK124" s="155" cm="1">
        <f t="array" ref="AK124">IF(Tabela3[[#This Row],[Rok]]&gt;HoryzontInwestycyjny,0,-IF(CzyKredyt="Tak",WydanaGotówka2,WydanaGotówka1)+Tabela3[[#This Row],[Skumulowany wynik z najmu netto z najmu]])</f>
        <v>0</v>
      </c>
    </row>
    <row r="125" spans="3:37">
      <c r="C125" s="168">
        <v>72</v>
      </c>
      <c r="D125" s="152">
        <f t="shared" si="4"/>
        <v>0.02</v>
      </c>
      <c r="E125" s="152">
        <f t="shared" si="5"/>
        <v>0.04</v>
      </c>
      <c r="F125" s="167">
        <f t="shared" si="6"/>
        <v>150</v>
      </c>
      <c r="G125" s="151">
        <f>IF(Tabela3[[#This Row],[Rok]]&gt;HoryzontInwestycyjny,0,IF(ZmianaOdstępnego="bez zmian",G124,IF(ZmianaOdstępnego="inflacyjnie",G124*(1+Wyniki2!$D125),IF(ZmianaOdstępnego="stały %",G124*(1+Wyniki2!$E125),IF(ZmianaOdstępnego="stała kwota",G124+Wyniki2!$F125,)))))</f>
        <v>0</v>
      </c>
      <c r="H125" s="165">
        <f>IF(Tabela3[[#This Row],[Rok]]&gt;HoryzontInwestycyjny,0,MAX(0, MiesiąceNajmu - MAX(0, MAX(IFERROR(IF(MOD($C125, MałyRemont) = 0,Czas_MałyRemont, 0),0),IFERROR(IF(MOD($C125,DużyRemont) = 0,Czas_DużyRemont, 0),0)) - (12 -MiesiąceNajmu))))</f>
        <v>0</v>
      </c>
      <c r="I125" s="166">
        <f t="shared" si="8"/>
        <v>0</v>
      </c>
      <c r="J125" s="152" t="str">
        <f>IF(Tabela3[[#This Row],[Rok]]&gt;HoryzontInwestycyjny,"",IF(ZmianaKosztów="TAK",Inflacja,0))</f>
        <v/>
      </c>
      <c r="K125" s="172"/>
      <c r="L125" s="172"/>
      <c r="M125" s="172"/>
      <c r="N125" s="171" cm="1">
        <f t="array" ref="N125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25" s="171" cm="1">
        <f t="array" ref="O125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25" s="155" cm="1">
        <f t="array" ref="P125">IF(Tabela3[[#This Row],[Rok]]&gt;HoryzontInwestycyjny,0,IF(12-Tabela3[[#This Row],[Liczba wynajętych miesięcy w roku]]&gt;0, (12-Tabela3[[#This Row],[Liczba wynajętych miesięcy w roku]]) *CzynszWspólnoty* IF(ZmianaKosztów="Tak", PRODUCT(1+J$54:INDEX($J$54:J125, ROWS($D$54:D125)-1)), 1), 0))</f>
        <v>0</v>
      </c>
      <c r="Q125" s="170">
        <f>IF(Tabela3[[#This Row],[Rok]]&gt;HoryzontInwestycyjny,0,SUMIF(Kredyt!$E:$E,Tabela3[[#This Row],[Rok]],Kredyt!$I:$I))</f>
        <v>0</v>
      </c>
      <c r="R125" s="171">
        <f>IF(Tabela3[[#This Row],[Rok]]&gt;HoryzontInwestycyjny,0,SUMIF(Kredyt!$E:$E,Tabela3[[#This Row],[Rok]],Kredyt!$J:$J))</f>
        <v>0</v>
      </c>
      <c r="S125" s="172">
        <f>Tabela3[[#This Row],[Rata kredytu: odsetki]]+Tabela3[[#This Row],[Rata kredytu: kapitał]]</f>
        <v>0</v>
      </c>
      <c r="T125" s="169" cm="1">
        <f t="array" ref="T125">IF(Tabela3[[#This Row],[Rok]]&gt;HoryzontInwestycyjny,0,IFERROR(INDEX(Kredyt!$M:$M,11+Tabela3[[#This Row],[Rok]]*12) * UbezŻyć,""))</f>
        <v>0</v>
      </c>
      <c r="U125" s="155" cm="1">
        <f t="array" ref="U125">IF(Tabela3[[#This Row],[Rok]]&gt;HoryzontInwestycyjny,0,IF(CzasKredytu&gt;=Tabela3[[#This Row],[Rok]],IF(ZmianaKosztów="Tak",UbezMiesz* PRODUCT(1+J125:J125), UbezMiesz),""))</f>
        <v>0</v>
      </c>
      <c r="V125" s="155" cm="1">
        <f t="array" ref="V125">IF(Tabela3[[#This Row],[Rok]]&gt;HoryzontInwestycyjny,0,IF(ZmianaKosztów="Tak", PodatekOdNieruchomości * PRODUCT(1+J$54:J124), PodNie))</f>
        <v>0</v>
      </c>
      <c r="W125" s="155">
        <f>KosztyZarządzania*Tabela3[[#This Row],[Przychody z wynajmu]]</f>
        <v>0</v>
      </c>
      <c r="X125" s="155" cm="1">
        <f t="array" ref="X125">IF(Tabela3[[#This Row],[Rok]]&gt;HoryzontInwestycyjny,0,IF(ZmianaKosztów="Tak", InneKosztyRocznie* PRODUCT(1+J$55:J125), InneKosztyRocznie))</f>
        <v>0</v>
      </c>
      <c r="Y125" s="155">
        <f>SUM(Tabela3[[#This Row],[Cena mieszkania + remont początkowy]:[Inne koszty]])-Tabela3[[#This Row],[Rata kredytu]]</f>
        <v>0</v>
      </c>
      <c r="Z125" s="155">
        <f>IF(Tabela3[[#This Row],[Przychody z wynajmu]]&lt;=100000, Tabela3[[#This Row],[Przychody z wynajmu]]*MałyPodatek, 100000*MałyPodatek + (Tabela3[[#This Row],[Przychody z wynajmu]]-100000)*DużyPodatek)</f>
        <v>0</v>
      </c>
      <c r="AA125" s="155">
        <f>Tabela3[[#This Row],[Wydatki związane z najmem całkowite]]+Tabela3[[#This Row],[Podatek od przychodu]]</f>
        <v>0</v>
      </c>
      <c r="AB125" s="155">
        <f>IF(Tabela3[[#This Row],[Rok]]&gt;HoryzontInwestycyjny,0,Tabela3[[#This Row],[Przychody z wynajmu]]-Tabela3[[#This Row],[Wydatki związane z najmem całkowite]]-Tabela3[[#This Row],[Podatek od przychodu]])</f>
        <v>0</v>
      </c>
      <c r="AC125" s="155">
        <f>IF(Tabela3[[#This Row],[Rok]]&gt;HoryzontInwestycyjny,0,AC124+Tabela3[[#This Row],[Wynik z najmu netto rocznie]])</f>
        <v>0</v>
      </c>
      <c r="AD125" s="176" t="str">
        <f>IF(Tabela3[[#This Row],[Rok]]&gt;HoryzontInwestycyjny,"",IF(ZmianaWartościNieruchomości="Inflacyjnie",Inflacja,0))</f>
        <v/>
      </c>
      <c r="AE125" s="177" t="str">
        <f>IF(Tabela3[[#This Row],[Rok]]&gt;HoryzontInwestycyjny,"",StałyProcentZmianyWartościNieruchomości)</f>
        <v/>
      </c>
      <c r="AF125" s="178" t="str">
        <f>IF(Tabela3[[#This Row],[Rok]]&gt;HoryzontInwestycyjny,"",StałaKwotaZmianyWartościNieruchomości)</f>
        <v/>
      </c>
      <c r="AG125" s="155">
        <f>IF(Tabela3[[#This Row],[Rok]]&gt;HoryzontInwestycyjny,0,IF(ZmianaWartościNieruchomości="bez zmian",AG124,IF(ZmianaWartościNieruchomości="inflacyjnie",AG124*(1+Tabela3[[#This Row],[Inflacja3]]),IF(ZmianaWartościNieruchomości="stały %",AG124*(1+Tabela3[[#This Row],[Stały % zmiany warrtości]]),IF(ZmianaWartościNieruchomości="stała kwota",AG124+AF125,AG124)))))</f>
        <v>0</v>
      </c>
      <c r="AH125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25" s="177" cm="1">
        <f t="array" ref="AI125">Tabela3[[#This Row],[Wynik z najmu netto rocznie]]/IF(CzyKredyt="Tak",WydanaGotówka2,WydanaGotówka1)</f>
        <v>0</v>
      </c>
      <c r="AJ125" s="177" cm="1">
        <f t="array" ref="AJ125">Tabela3[[#This Row],[Wynik z najmu netto rocznie]]/IF(CzyKredyt="Tak",SumaKosztówPoczątkowychInwestycji,SumaKosztów)</f>
        <v>0</v>
      </c>
      <c r="AK125" s="155" cm="1">
        <f t="array" ref="AK125">IF(Tabela3[[#This Row],[Rok]]&gt;HoryzontInwestycyjny,0,-IF(CzyKredyt="Tak",WydanaGotówka2,WydanaGotówka1)+Tabela3[[#This Row],[Skumulowany wynik z najmu netto z najmu]])</f>
        <v>0</v>
      </c>
    </row>
    <row r="126" spans="3:37">
      <c r="C126" s="158">
        <v>73</v>
      </c>
      <c r="D126" s="152">
        <f t="shared" si="4"/>
        <v>0.02</v>
      </c>
      <c r="E126" s="152">
        <f t="shared" si="5"/>
        <v>0.04</v>
      </c>
      <c r="F126" s="167">
        <f t="shared" si="6"/>
        <v>150</v>
      </c>
      <c r="G126" s="151">
        <f>IF(Tabela3[[#This Row],[Rok]]&gt;HoryzontInwestycyjny,0,IF(ZmianaOdstępnego="bez zmian",G125,IF(ZmianaOdstępnego="inflacyjnie",G125*(1+Wyniki2!$D126),IF(ZmianaOdstępnego="stały %",G125*(1+Wyniki2!$E126),IF(ZmianaOdstępnego="stała kwota",G125+Wyniki2!$F126,)))))</f>
        <v>0</v>
      </c>
      <c r="H126" s="165">
        <f>IF(Tabela3[[#This Row],[Rok]]&gt;HoryzontInwestycyjny,0,MAX(0, MiesiąceNajmu - MAX(0, MAX(IFERROR(IF(MOD($C126, MałyRemont) = 0,Czas_MałyRemont, 0),0),IFERROR(IF(MOD($C126,DużyRemont) = 0,Czas_DużyRemont, 0),0)) - (12 -MiesiąceNajmu))))</f>
        <v>0</v>
      </c>
      <c r="I126" s="166">
        <f t="shared" si="8"/>
        <v>0</v>
      </c>
      <c r="J126" s="152" t="str">
        <f>IF(Tabela3[[#This Row],[Rok]]&gt;HoryzontInwestycyjny,"",IF(ZmianaKosztów="TAK",Inflacja,0))</f>
        <v/>
      </c>
      <c r="K126" s="155"/>
      <c r="L126" s="155"/>
      <c r="M126" s="155"/>
      <c r="N126" s="171" cm="1">
        <f t="array" ref="N126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26" s="171" cm="1">
        <f t="array" ref="O126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26" s="155" cm="1">
        <f t="array" ref="P126">IF(Tabela3[[#This Row],[Rok]]&gt;HoryzontInwestycyjny,0,IF(12-Tabela3[[#This Row],[Liczba wynajętych miesięcy w roku]]&gt;0, (12-Tabela3[[#This Row],[Liczba wynajętych miesięcy w roku]]) *CzynszWspólnoty* IF(ZmianaKosztów="Tak", PRODUCT(1+J$54:INDEX($J$54:J126, ROWS($D$54:D126)-1)), 1), 0))</f>
        <v>0</v>
      </c>
      <c r="Q126" s="170">
        <f>IF(Tabela3[[#This Row],[Rok]]&gt;HoryzontInwestycyjny,0,SUMIF(Kredyt!$E:$E,Tabela3[[#This Row],[Rok]],Kredyt!$I:$I))</f>
        <v>0</v>
      </c>
      <c r="R126" s="171">
        <f>IF(Tabela3[[#This Row],[Rok]]&gt;HoryzontInwestycyjny,0,SUMIF(Kredyt!$E:$E,Tabela3[[#This Row],[Rok]],Kredyt!$J:$J))</f>
        <v>0</v>
      </c>
      <c r="S126" s="155">
        <f>Tabela3[[#This Row],[Rata kredytu: odsetki]]+Tabela3[[#This Row],[Rata kredytu: kapitał]]</f>
        <v>0</v>
      </c>
      <c r="T126" s="169" cm="1">
        <f t="array" ref="T126">IF(Tabela3[[#This Row],[Rok]]&gt;HoryzontInwestycyjny,0,IFERROR(INDEX(Kredyt!$M:$M,11+Tabela3[[#This Row],[Rok]]*12) * UbezŻyć,""))</f>
        <v>0</v>
      </c>
      <c r="U126" s="155" cm="1">
        <f t="array" ref="U126">IF(Tabela3[[#This Row],[Rok]]&gt;HoryzontInwestycyjny,0,IF(CzasKredytu&gt;=Tabela3[[#This Row],[Rok]],IF(ZmianaKosztów="Tak",UbezMiesz* PRODUCT(1+J126:J126), UbezMiesz),""))</f>
        <v>0</v>
      </c>
      <c r="V126" s="155" cm="1">
        <f t="array" ref="V126">IF(Tabela3[[#This Row],[Rok]]&gt;HoryzontInwestycyjny,0,IF(ZmianaKosztów="Tak", PodatekOdNieruchomości * PRODUCT(1+J$54:J125), PodNie))</f>
        <v>0</v>
      </c>
      <c r="W126" s="155">
        <f>KosztyZarządzania*Tabela3[[#This Row],[Przychody z wynajmu]]</f>
        <v>0</v>
      </c>
      <c r="X126" s="155" cm="1">
        <f t="array" ref="X126">IF(Tabela3[[#This Row],[Rok]]&gt;HoryzontInwestycyjny,0,IF(ZmianaKosztów="Tak", InneKosztyRocznie* PRODUCT(1+J$55:J126), InneKosztyRocznie))</f>
        <v>0</v>
      </c>
      <c r="Y126" s="155">
        <f>SUM(Tabela3[[#This Row],[Cena mieszkania + remont początkowy]:[Inne koszty]])-Tabela3[[#This Row],[Rata kredytu]]</f>
        <v>0</v>
      </c>
      <c r="Z126" s="155">
        <f>IF(Tabela3[[#This Row],[Przychody z wynajmu]]&lt;=100000, Tabela3[[#This Row],[Przychody z wynajmu]]*MałyPodatek, 100000*MałyPodatek + (Tabela3[[#This Row],[Przychody z wynajmu]]-100000)*DużyPodatek)</f>
        <v>0</v>
      </c>
      <c r="AA126" s="155">
        <f>Tabela3[[#This Row],[Wydatki związane z najmem całkowite]]+Tabela3[[#This Row],[Podatek od przychodu]]</f>
        <v>0</v>
      </c>
      <c r="AB126" s="155">
        <f>IF(Tabela3[[#This Row],[Rok]]&gt;HoryzontInwestycyjny,0,Tabela3[[#This Row],[Przychody z wynajmu]]-Tabela3[[#This Row],[Wydatki związane z najmem całkowite]]-Tabela3[[#This Row],[Podatek od przychodu]])</f>
        <v>0</v>
      </c>
      <c r="AC126" s="155">
        <f>IF(Tabela3[[#This Row],[Rok]]&gt;HoryzontInwestycyjny,0,AC125+Tabela3[[#This Row],[Wynik z najmu netto rocznie]])</f>
        <v>0</v>
      </c>
      <c r="AD126" s="176" t="str">
        <f>IF(Tabela3[[#This Row],[Rok]]&gt;HoryzontInwestycyjny,"",IF(ZmianaWartościNieruchomości="Inflacyjnie",Inflacja,0))</f>
        <v/>
      </c>
      <c r="AE126" s="177" t="str">
        <f>IF(Tabela3[[#This Row],[Rok]]&gt;HoryzontInwestycyjny,"",StałyProcentZmianyWartościNieruchomości)</f>
        <v/>
      </c>
      <c r="AF126" s="178" t="str">
        <f>IF(Tabela3[[#This Row],[Rok]]&gt;HoryzontInwestycyjny,"",StałaKwotaZmianyWartościNieruchomości)</f>
        <v/>
      </c>
      <c r="AG126" s="155">
        <f>IF(Tabela3[[#This Row],[Rok]]&gt;HoryzontInwestycyjny,0,IF(ZmianaWartościNieruchomości="bez zmian",AG125,IF(ZmianaWartościNieruchomości="inflacyjnie",AG125*(1+Tabela3[[#This Row],[Inflacja3]]),IF(ZmianaWartościNieruchomości="stały %",AG125*(1+Tabela3[[#This Row],[Stały % zmiany warrtości]]),IF(ZmianaWartościNieruchomości="stała kwota",AG125+AF126,AG125)))))</f>
        <v>0</v>
      </c>
      <c r="AH126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26" s="177" cm="1">
        <f t="array" ref="AI126">Tabela3[[#This Row],[Wynik z najmu netto rocznie]]/IF(CzyKredyt="Tak",WydanaGotówka2,WydanaGotówka1)</f>
        <v>0</v>
      </c>
      <c r="AJ126" s="177" cm="1">
        <f t="array" ref="AJ126">Tabela3[[#This Row],[Wynik z najmu netto rocznie]]/IF(CzyKredyt="Tak",SumaKosztówPoczątkowychInwestycji,SumaKosztów)</f>
        <v>0</v>
      </c>
      <c r="AK126" s="155" cm="1">
        <f t="array" ref="AK126">IF(Tabela3[[#This Row],[Rok]]&gt;HoryzontInwestycyjny,0,-IF(CzyKredyt="Tak",WydanaGotówka2,WydanaGotówka1)+Tabela3[[#This Row],[Skumulowany wynik z najmu netto z najmu]])</f>
        <v>0</v>
      </c>
    </row>
    <row r="127" spans="3:37">
      <c r="C127" s="168">
        <v>74</v>
      </c>
      <c r="D127" s="152">
        <f t="shared" si="4"/>
        <v>0.02</v>
      </c>
      <c r="E127" s="152">
        <f t="shared" si="5"/>
        <v>0.04</v>
      </c>
      <c r="F127" s="167">
        <f t="shared" si="6"/>
        <v>150</v>
      </c>
      <c r="G127" s="151">
        <f>IF(Tabela3[[#This Row],[Rok]]&gt;HoryzontInwestycyjny,0,IF(ZmianaOdstępnego="bez zmian",G126,IF(ZmianaOdstępnego="inflacyjnie",G126*(1+Wyniki2!$D127),IF(ZmianaOdstępnego="stały %",G126*(1+Wyniki2!$E127),IF(ZmianaOdstępnego="stała kwota",G126+Wyniki2!$F127,)))))</f>
        <v>0</v>
      </c>
      <c r="H127" s="165">
        <f>IF(Tabela3[[#This Row],[Rok]]&gt;HoryzontInwestycyjny,0,MAX(0, MiesiąceNajmu - MAX(0, MAX(IFERROR(IF(MOD($C127, MałyRemont) = 0,Czas_MałyRemont, 0),0),IFERROR(IF(MOD($C127,DużyRemont) = 0,Czas_DużyRemont, 0),0)) - (12 -MiesiąceNajmu))))</f>
        <v>0</v>
      </c>
      <c r="I127" s="166">
        <f t="shared" si="8"/>
        <v>0</v>
      </c>
      <c r="J127" s="152" t="str">
        <f>IF(Tabela3[[#This Row],[Rok]]&gt;HoryzontInwestycyjny,"",IF(ZmianaKosztów="TAK",Inflacja,0))</f>
        <v/>
      </c>
      <c r="K127" s="172"/>
      <c r="L127" s="172"/>
      <c r="M127" s="172"/>
      <c r="N127" s="171" cm="1">
        <f t="array" ref="N127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27" s="171" cm="1">
        <f t="array" ref="O127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27" s="155" cm="1">
        <f t="array" ref="P127">IF(Tabela3[[#This Row],[Rok]]&gt;HoryzontInwestycyjny,0,IF(12-Tabela3[[#This Row],[Liczba wynajętych miesięcy w roku]]&gt;0, (12-Tabela3[[#This Row],[Liczba wynajętych miesięcy w roku]]) *CzynszWspólnoty* IF(ZmianaKosztów="Tak", PRODUCT(1+J$54:INDEX($J$54:J127, ROWS($D$54:D127)-1)), 1), 0))</f>
        <v>0</v>
      </c>
      <c r="Q127" s="170">
        <f>IF(Tabela3[[#This Row],[Rok]]&gt;HoryzontInwestycyjny,0,SUMIF(Kredyt!$E:$E,Tabela3[[#This Row],[Rok]],Kredyt!$I:$I))</f>
        <v>0</v>
      </c>
      <c r="R127" s="171">
        <f>IF(Tabela3[[#This Row],[Rok]]&gt;HoryzontInwestycyjny,0,SUMIF(Kredyt!$E:$E,Tabela3[[#This Row],[Rok]],Kredyt!$J:$J))</f>
        <v>0</v>
      </c>
      <c r="S127" s="172">
        <f>Tabela3[[#This Row],[Rata kredytu: odsetki]]+Tabela3[[#This Row],[Rata kredytu: kapitał]]</f>
        <v>0</v>
      </c>
      <c r="T127" s="169" cm="1">
        <f t="array" ref="T127">IF(Tabela3[[#This Row],[Rok]]&gt;HoryzontInwestycyjny,0,IFERROR(INDEX(Kredyt!$M:$M,11+Tabela3[[#This Row],[Rok]]*12) * UbezŻyć,""))</f>
        <v>0</v>
      </c>
      <c r="U127" s="155" cm="1">
        <f t="array" ref="U127">IF(Tabela3[[#This Row],[Rok]]&gt;HoryzontInwestycyjny,0,IF(CzasKredytu&gt;=Tabela3[[#This Row],[Rok]],IF(ZmianaKosztów="Tak",UbezMiesz* PRODUCT(1+J127:J127), UbezMiesz),""))</f>
        <v>0</v>
      </c>
      <c r="V127" s="155" cm="1">
        <f t="array" ref="V127">IF(Tabela3[[#This Row],[Rok]]&gt;HoryzontInwestycyjny,0,IF(ZmianaKosztów="Tak", PodatekOdNieruchomości * PRODUCT(1+J$54:J126), PodNie))</f>
        <v>0</v>
      </c>
      <c r="W127" s="155">
        <f>KosztyZarządzania*Tabela3[[#This Row],[Przychody z wynajmu]]</f>
        <v>0</v>
      </c>
      <c r="X127" s="155" cm="1">
        <f t="array" ref="X127">IF(Tabela3[[#This Row],[Rok]]&gt;HoryzontInwestycyjny,0,IF(ZmianaKosztów="Tak", InneKosztyRocznie* PRODUCT(1+J$55:J127), InneKosztyRocznie))</f>
        <v>0</v>
      </c>
      <c r="Y127" s="155">
        <f>SUM(Tabela3[[#This Row],[Cena mieszkania + remont początkowy]:[Inne koszty]])-Tabela3[[#This Row],[Rata kredytu]]</f>
        <v>0</v>
      </c>
      <c r="Z127" s="155">
        <f>IF(Tabela3[[#This Row],[Przychody z wynajmu]]&lt;=100000, Tabela3[[#This Row],[Przychody z wynajmu]]*MałyPodatek, 100000*MałyPodatek + (Tabela3[[#This Row],[Przychody z wynajmu]]-100000)*DużyPodatek)</f>
        <v>0</v>
      </c>
      <c r="AA127" s="155">
        <f>Tabela3[[#This Row],[Wydatki związane z najmem całkowite]]+Tabela3[[#This Row],[Podatek od przychodu]]</f>
        <v>0</v>
      </c>
      <c r="AB127" s="155">
        <f>IF(Tabela3[[#This Row],[Rok]]&gt;HoryzontInwestycyjny,0,Tabela3[[#This Row],[Przychody z wynajmu]]-Tabela3[[#This Row],[Wydatki związane z najmem całkowite]]-Tabela3[[#This Row],[Podatek od przychodu]])</f>
        <v>0</v>
      </c>
      <c r="AC127" s="155">
        <f>IF(Tabela3[[#This Row],[Rok]]&gt;HoryzontInwestycyjny,0,AC126+Tabela3[[#This Row],[Wynik z najmu netto rocznie]])</f>
        <v>0</v>
      </c>
      <c r="AD127" s="176" t="str">
        <f>IF(Tabela3[[#This Row],[Rok]]&gt;HoryzontInwestycyjny,"",IF(ZmianaWartościNieruchomości="Inflacyjnie",Inflacja,0))</f>
        <v/>
      </c>
      <c r="AE127" s="177" t="str">
        <f>IF(Tabela3[[#This Row],[Rok]]&gt;HoryzontInwestycyjny,"",StałyProcentZmianyWartościNieruchomości)</f>
        <v/>
      </c>
      <c r="AF127" s="178" t="str">
        <f>IF(Tabela3[[#This Row],[Rok]]&gt;HoryzontInwestycyjny,"",StałaKwotaZmianyWartościNieruchomości)</f>
        <v/>
      </c>
      <c r="AG127" s="155">
        <f>IF(Tabela3[[#This Row],[Rok]]&gt;HoryzontInwestycyjny,0,IF(ZmianaWartościNieruchomości="bez zmian",AG126,IF(ZmianaWartościNieruchomości="inflacyjnie",AG126*(1+Tabela3[[#This Row],[Inflacja3]]),IF(ZmianaWartościNieruchomości="stały %",AG126*(1+Tabela3[[#This Row],[Stały % zmiany warrtości]]),IF(ZmianaWartościNieruchomości="stała kwota",AG126+AF127,AG126)))))</f>
        <v>0</v>
      </c>
      <c r="AH127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27" s="177" cm="1">
        <f t="array" ref="AI127">Tabela3[[#This Row],[Wynik z najmu netto rocznie]]/IF(CzyKredyt="Tak",WydanaGotówka2,WydanaGotówka1)</f>
        <v>0</v>
      </c>
      <c r="AJ127" s="177" cm="1">
        <f t="array" ref="AJ127">Tabela3[[#This Row],[Wynik z najmu netto rocznie]]/IF(CzyKredyt="Tak",SumaKosztówPoczątkowychInwestycji,SumaKosztów)</f>
        <v>0</v>
      </c>
      <c r="AK127" s="155" cm="1">
        <f t="array" ref="AK127">IF(Tabela3[[#This Row],[Rok]]&gt;HoryzontInwestycyjny,0,-IF(CzyKredyt="Tak",WydanaGotówka2,WydanaGotówka1)+Tabela3[[#This Row],[Skumulowany wynik z najmu netto z najmu]])</f>
        <v>0</v>
      </c>
    </row>
    <row r="128" spans="3:37">
      <c r="C128" s="158">
        <v>75</v>
      </c>
      <c r="D128" s="152">
        <f t="shared" si="4"/>
        <v>0.02</v>
      </c>
      <c r="E128" s="152">
        <f t="shared" si="5"/>
        <v>0.04</v>
      </c>
      <c r="F128" s="167">
        <f t="shared" si="6"/>
        <v>150</v>
      </c>
      <c r="G128" s="151">
        <f>IF(Tabela3[[#This Row],[Rok]]&gt;HoryzontInwestycyjny,0,IF(ZmianaOdstępnego="bez zmian",G127,IF(ZmianaOdstępnego="inflacyjnie",G127*(1+Wyniki2!$D128),IF(ZmianaOdstępnego="stały %",G127*(1+Wyniki2!$E128),IF(ZmianaOdstępnego="stała kwota",G127+Wyniki2!$F128,)))))</f>
        <v>0</v>
      </c>
      <c r="H128" s="165">
        <f>IF(Tabela3[[#This Row],[Rok]]&gt;HoryzontInwestycyjny,0,MAX(0, MiesiąceNajmu - MAX(0, MAX(IFERROR(IF(MOD($C128, MałyRemont) = 0,Czas_MałyRemont, 0),0),IFERROR(IF(MOD($C128,DużyRemont) = 0,Czas_DużyRemont, 0),0)) - (12 -MiesiąceNajmu))))</f>
        <v>0</v>
      </c>
      <c r="I128" s="166">
        <f t="shared" si="8"/>
        <v>0</v>
      </c>
      <c r="J128" s="152" t="str">
        <f>IF(Tabela3[[#This Row],[Rok]]&gt;HoryzontInwestycyjny,"",IF(ZmianaKosztów="TAK",Inflacja,0))</f>
        <v/>
      </c>
      <c r="K128" s="155"/>
      <c r="L128" s="155"/>
      <c r="M128" s="155"/>
      <c r="N128" s="171" cm="1">
        <f t="array" ref="N128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28" s="171" cm="1">
        <f t="array" ref="O128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28" s="155" cm="1">
        <f t="array" ref="P128">IF(Tabela3[[#This Row],[Rok]]&gt;HoryzontInwestycyjny,0,IF(12-Tabela3[[#This Row],[Liczba wynajętych miesięcy w roku]]&gt;0, (12-Tabela3[[#This Row],[Liczba wynajętych miesięcy w roku]]) *CzynszWspólnoty* IF(ZmianaKosztów="Tak", PRODUCT(1+J$54:INDEX($J$54:J128, ROWS($D$54:D128)-1)), 1), 0))</f>
        <v>0</v>
      </c>
      <c r="Q128" s="170">
        <f>IF(Tabela3[[#This Row],[Rok]]&gt;HoryzontInwestycyjny,0,SUMIF(Kredyt!$E:$E,Tabela3[[#This Row],[Rok]],Kredyt!$I:$I))</f>
        <v>0</v>
      </c>
      <c r="R128" s="171">
        <f>IF(Tabela3[[#This Row],[Rok]]&gt;HoryzontInwestycyjny,0,SUMIF(Kredyt!$E:$E,Tabela3[[#This Row],[Rok]],Kredyt!$J:$J))</f>
        <v>0</v>
      </c>
      <c r="S128" s="155">
        <f>Tabela3[[#This Row],[Rata kredytu: odsetki]]+Tabela3[[#This Row],[Rata kredytu: kapitał]]</f>
        <v>0</v>
      </c>
      <c r="T128" s="169" cm="1">
        <f t="array" ref="T128">IF(Tabela3[[#This Row],[Rok]]&gt;HoryzontInwestycyjny,0,IFERROR(INDEX(Kredyt!$M:$M,11+Tabela3[[#This Row],[Rok]]*12) * UbezŻyć,""))</f>
        <v>0</v>
      </c>
      <c r="U128" s="155" cm="1">
        <f t="array" ref="U128">IF(Tabela3[[#This Row],[Rok]]&gt;HoryzontInwestycyjny,0,IF(CzasKredytu&gt;=Tabela3[[#This Row],[Rok]],IF(ZmianaKosztów="Tak",UbezMiesz* PRODUCT(1+J128:J128), UbezMiesz),""))</f>
        <v>0</v>
      </c>
      <c r="V128" s="155" cm="1">
        <f t="array" ref="V128">IF(Tabela3[[#This Row],[Rok]]&gt;HoryzontInwestycyjny,0,IF(ZmianaKosztów="Tak", PodatekOdNieruchomości * PRODUCT(1+J$54:J127), PodNie))</f>
        <v>0</v>
      </c>
      <c r="W128" s="155">
        <f>KosztyZarządzania*Tabela3[[#This Row],[Przychody z wynajmu]]</f>
        <v>0</v>
      </c>
      <c r="X128" s="155" cm="1">
        <f t="array" ref="X128">IF(Tabela3[[#This Row],[Rok]]&gt;HoryzontInwestycyjny,0,IF(ZmianaKosztów="Tak", InneKosztyRocznie* PRODUCT(1+J$55:J128), InneKosztyRocznie))</f>
        <v>0</v>
      </c>
      <c r="Y128" s="155">
        <f>SUM(Tabela3[[#This Row],[Cena mieszkania + remont początkowy]:[Inne koszty]])-Tabela3[[#This Row],[Rata kredytu]]</f>
        <v>0</v>
      </c>
      <c r="Z128" s="155">
        <f>IF(Tabela3[[#This Row],[Przychody z wynajmu]]&lt;=100000, Tabela3[[#This Row],[Przychody z wynajmu]]*MałyPodatek, 100000*MałyPodatek + (Tabela3[[#This Row],[Przychody z wynajmu]]-100000)*DużyPodatek)</f>
        <v>0</v>
      </c>
      <c r="AA128" s="155">
        <f>Tabela3[[#This Row],[Wydatki związane z najmem całkowite]]+Tabela3[[#This Row],[Podatek od przychodu]]</f>
        <v>0</v>
      </c>
      <c r="AB128" s="155">
        <f>IF(Tabela3[[#This Row],[Rok]]&gt;HoryzontInwestycyjny,0,Tabela3[[#This Row],[Przychody z wynajmu]]-Tabela3[[#This Row],[Wydatki związane z najmem całkowite]]-Tabela3[[#This Row],[Podatek od przychodu]])</f>
        <v>0</v>
      </c>
      <c r="AC128" s="155">
        <f>IF(Tabela3[[#This Row],[Rok]]&gt;HoryzontInwestycyjny,0,AC127+Tabela3[[#This Row],[Wynik z najmu netto rocznie]])</f>
        <v>0</v>
      </c>
      <c r="AD128" s="176" t="str">
        <f>IF(Tabela3[[#This Row],[Rok]]&gt;HoryzontInwestycyjny,"",IF(ZmianaWartościNieruchomości="Inflacyjnie",Inflacja,0))</f>
        <v/>
      </c>
      <c r="AE128" s="177" t="str">
        <f>IF(Tabela3[[#This Row],[Rok]]&gt;HoryzontInwestycyjny,"",StałyProcentZmianyWartościNieruchomości)</f>
        <v/>
      </c>
      <c r="AF128" s="178" t="str">
        <f>IF(Tabela3[[#This Row],[Rok]]&gt;HoryzontInwestycyjny,"",StałaKwotaZmianyWartościNieruchomości)</f>
        <v/>
      </c>
      <c r="AG128" s="155">
        <f>IF(Tabela3[[#This Row],[Rok]]&gt;HoryzontInwestycyjny,0,IF(ZmianaWartościNieruchomości="bez zmian",AG127,IF(ZmianaWartościNieruchomości="inflacyjnie",AG127*(1+Tabela3[[#This Row],[Inflacja3]]),IF(ZmianaWartościNieruchomości="stały %",AG127*(1+Tabela3[[#This Row],[Stały % zmiany warrtości]]),IF(ZmianaWartościNieruchomości="stała kwota",AG127+AF128,AG127)))))</f>
        <v>0</v>
      </c>
      <c r="AH128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28" s="177" cm="1">
        <f t="array" ref="AI128">Tabela3[[#This Row],[Wynik z najmu netto rocznie]]/IF(CzyKredyt="Tak",WydanaGotówka2,WydanaGotówka1)</f>
        <v>0</v>
      </c>
      <c r="AJ128" s="177" cm="1">
        <f t="array" ref="AJ128">Tabela3[[#This Row],[Wynik z najmu netto rocznie]]/IF(CzyKredyt="Tak",SumaKosztówPoczątkowychInwestycji,SumaKosztów)</f>
        <v>0</v>
      </c>
      <c r="AK128" s="155" cm="1">
        <f t="array" ref="AK128">IF(Tabela3[[#This Row],[Rok]]&gt;HoryzontInwestycyjny,0,-IF(CzyKredyt="Tak",WydanaGotówka2,WydanaGotówka1)+Tabela3[[#This Row],[Skumulowany wynik z najmu netto z najmu]])</f>
        <v>0</v>
      </c>
    </row>
    <row r="129" spans="3:37">
      <c r="C129" s="168">
        <v>76</v>
      </c>
      <c r="D129" s="152">
        <f t="shared" si="4"/>
        <v>0.02</v>
      </c>
      <c r="E129" s="152">
        <f t="shared" si="5"/>
        <v>0.04</v>
      </c>
      <c r="F129" s="167">
        <f t="shared" si="6"/>
        <v>150</v>
      </c>
      <c r="G129" s="151">
        <f>IF(Tabela3[[#This Row],[Rok]]&gt;HoryzontInwestycyjny,0,IF(ZmianaOdstępnego="bez zmian",G128,IF(ZmianaOdstępnego="inflacyjnie",G128*(1+Wyniki2!$D129),IF(ZmianaOdstępnego="stały %",G128*(1+Wyniki2!$E129),IF(ZmianaOdstępnego="stała kwota",G128+Wyniki2!$F129,)))))</f>
        <v>0</v>
      </c>
      <c r="H129" s="165">
        <f>IF(Tabela3[[#This Row],[Rok]]&gt;HoryzontInwestycyjny,0,MAX(0, MiesiąceNajmu - MAX(0, MAX(IFERROR(IF(MOD($C129, MałyRemont) = 0,Czas_MałyRemont, 0),0),IFERROR(IF(MOD($C129,DużyRemont) = 0,Czas_DużyRemont, 0),0)) - (12 -MiesiąceNajmu))))</f>
        <v>0</v>
      </c>
      <c r="I129" s="166">
        <f t="shared" si="8"/>
        <v>0</v>
      </c>
      <c r="J129" s="152" t="str">
        <f>IF(Tabela3[[#This Row],[Rok]]&gt;HoryzontInwestycyjny,"",IF(ZmianaKosztów="TAK",Inflacja,0))</f>
        <v/>
      </c>
      <c r="K129" s="172"/>
      <c r="L129" s="172"/>
      <c r="M129" s="172"/>
      <c r="N129" s="171" cm="1">
        <f t="array" ref="N129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29" s="171" cm="1">
        <f t="array" ref="O129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29" s="155" cm="1">
        <f t="array" ref="P129">IF(Tabela3[[#This Row],[Rok]]&gt;HoryzontInwestycyjny,0,IF(12-Tabela3[[#This Row],[Liczba wynajętych miesięcy w roku]]&gt;0, (12-Tabela3[[#This Row],[Liczba wynajętych miesięcy w roku]]) *CzynszWspólnoty* IF(ZmianaKosztów="Tak", PRODUCT(1+J$54:INDEX($J$54:J129, ROWS($D$54:D129)-1)), 1), 0))</f>
        <v>0</v>
      </c>
      <c r="Q129" s="170">
        <f>IF(Tabela3[[#This Row],[Rok]]&gt;HoryzontInwestycyjny,0,SUMIF(Kredyt!$E:$E,Tabela3[[#This Row],[Rok]],Kredyt!$I:$I))</f>
        <v>0</v>
      </c>
      <c r="R129" s="171">
        <f>IF(Tabela3[[#This Row],[Rok]]&gt;HoryzontInwestycyjny,0,SUMIF(Kredyt!$E:$E,Tabela3[[#This Row],[Rok]],Kredyt!$J:$J))</f>
        <v>0</v>
      </c>
      <c r="S129" s="172">
        <f>Tabela3[[#This Row],[Rata kredytu: odsetki]]+Tabela3[[#This Row],[Rata kredytu: kapitał]]</f>
        <v>0</v>
      </c>
      <c r="T129" s="169" cm="1">
        <f t="array" ref="T129">IF(Tabela3[[#This Row],[Rok]]&gt;HoryzontInwestycyjny,0,IFERROR(INDEX(Kredyt!$M:$M,11+Tabela3[[#This Row],[Rok]]*12) * UbezŻyć,""))</f>
        <v>0</v>
      </c>
      <c r="U129" s="155" cm="1">
        <f t="array" ref="U129">IF(Tabela3[[#This Row],[Rok]]&gt;HoryzontInwestycyjny,0,IF(CzasKredytu&gt;=Tabela3[[#This Row],[Rok]],IF(ZmianaKosztów="Tak",UbezMiesz* PRODUCT(1+J129:J129), UbezMiesz),""))</f>
        <v>0</v>
      </c>
      <c r="V129" s="155" cm="1">
        <f t="array" ref="V129">IF(Tabela3[[#This Row],[Rok]]&gt;HoryzontInwestycyjny,0,IF(ZmianaKosztów="Tak", PodatekOdNieruchomości * PRODUCT(1+J$54:J128), PodNie))</f>
        <v>0</v>
      </c>
      <c r="W129" s="155">
        <f>KosztyZarządzania*Tabela3[[#This Row],[Przychody z wynajmu]]</f>
        <v>0</v>
      </c>
      <c r="X129" s="155" cm="1">
        <f t="array" ref="X129">IF(Tabela3[[#This Row],[Rok]]&gt;HoryzontInwestycyjny,0,IF(ZmianaKosztów="Tak", InneKosztyRocznie* PRODUCT(1+J$55:J129), InneKosztyRocznie))</f>
        <v>0</v>
      </c>
      <c r="Y129" s="155">
        <f>SUM(Tabela3[[#This Row],[Cena mieszkania + remont początkowy]:[Inne koszty]])-Tabela3[[#This Row],[Rata kredytu]]</f>
        <v>0</v>
      </c>
      <c r="Z129" s="155">
        <f>IF(Tabela3[[#This Row],[Przychody z wynajmu]]&lt;=100000, Tabela3[[#This Row],[Przychody z wynajmu]]*MałyPodatek, 100000*MałyPodatek + (Tabela3[[#This Row],[Przychody z wynajmu]]-100000)*DużyPodatek)</f>
        <v>0</v>
      </c>
      <c r="AA129" s="155">
        <f>Tabela3[[#This Row],[Wydatki związane z najmem całkowite]]+Tabela3[[#This Row],[Podatek od przychodu]]</f>
        <v>0</v>
      </c>
      <c r="AB129" s="155">
        <f>IF(Tabela3[[#This Row],[Rok]]&gt;HoryzontInwestycyjny,0,Tabela3[[#This Row],[Przychody z wynajmu]]-Tabela3[[#This Row],[Wydatki związane z najmem całkowite]]-Tabela3[[#This Row],[Podatek od przychodu]])</f>
        <v>0</v>
      </c>
      <c r="AC129" s="155">
        <f>IF(Tabela3[[#This Row],[Rok]]&gt;HoryzontInwestycyjny,0,AC128+Tabela3[[#This Row],[Wynik z najmu netto rocznie]])</f>
        <v>0</v>
      </c>
      <c r="AD129" s="176" t="str">
        <f>IF(Tabela3[[#This Row],[Rok]]&gt;HoryzontInwestycyjny,"",IF(ZmianaWartościNieruchomości="Inflacyjnie",Inflacja,0))</f>
        <v/>
      </c>
      <c r="AE129" s="177" t="str">
        <f>IF(Tabela3[[#This Row],[Rok]]&gt;HoryzontInwestycyjny,"",StałyProcentZmianyWartościNieruchomości)</f>
        <v/>
      </c>
      <c r="AF129" s="178" t="str">
        <f>IF(Tabela3[[#This Row],[Rok]]&gt;HoryzontInwestycyjny,"",StałaKwotaZmianyWartościNieruchomości)</f>
        <v/>
      </c>
      <c r="AG129" s="155">
        <f>IF(Tabela3[[#This Row],[Rok]]&gt;HoryzontInwestycyjny,0,IF(ZmianaWartościNieruchomości="bez zmian",AG128,IF(ZmianaWartościNieruchomości="inflacyjnie",AG128*(1+Tabela3[[#This Row],[Inflacja3]]),IF(ZmianaWartościNieruchomości="stały %",AG128*(1+Tabela3[[#This Row],[Stały % zmiany warrtości]]),IF(ZmianaWartościNieruchomości="stała kwota",AG128+AF129,AG128)))))</f>
        <v>0</v>
      </c>
      <c r="AH129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29" s="177" cm="1">
        <f t="array" ref="AI129">Tabela3[[#This Row],[Wynik z najmu netto rocznie]]/IF(CzyKredyt="Tak",WydanaGotówka2,WydanaGotówka1)</f>
        <v>0</v>
      </c>
      <c r="AJ129" s="177" cm="1">
        <f t="array" ref="AJ129">Tabela3[[#This Row],[Wynik z najmu netto rocznie]]/IF(CzyKredyt="Tak",SumaKosztówPoczątkowychInwestycji,SumaKosztów)</f>
        <v>0</v>
      </c>
      <c r="AK129" s="155" cm="1">
        <f t="array" ref="AK129">IF(Tabela3[[#This Row],[Rok]]&gt;HoryzontInwestycyjny,0,-IF(CzyKredyt="Tak",WydanaGotówka2,WydanaGotówka1)+Tabela3[[#This Row],[Skumulowany wynik z najmu netto z najmu]])</f>
        <v>0</v>
      </c>
    </row>
    <row r="130" spans="3:37">
      <c r="C130" s="158">
        <v>77</v>
      </c>
      <c r="D130" s="152">
        <f t="shared" si="4"/>
        <v>0.02</v>
      </c>
      <c r="E130" s="152">
        <f t="shared" si="5"/>
        <v>0.04</v>
      </c>
      <c r="F130" s="167">
        <f t="shared" si="6"/>
        <v>150</v>
      </c>
      <c r="G130" s="151">
        <f>IF(Tabela3[[#This Row],[Rok]]&gt;HoryzontInwestycyjny,0,IF(ZmianaOdstępnego="bez zmian",G129,IF(ZmianaOdstępnego="inflacyjnie",G129*(1+Wyniki2!$D130),IF(ZmianaOdstępnego="stały %",G129*(1+Wyniki2!$E130),IF(ZmianaOdstępnego="stała kwota",G129+Wyniki2!$F130,)))))</f>
        <v>0</v>
      </c>
      <c r="H130" s="165">
        <f>IF(Tabela3[[#This Row],[Rok]]&gt;HoryzontInwestycyjny,0,MAX(0, MiesiąceNajmu - MAX(0, MAX(IFERROR(IF(MOD($C130, MałyRemont) = 0,Czas_MałyRemont, 0),0),IFERROR(IF(MOD($C130,DużyRemont) = 0,Czas_DużyRemont, 0),0)) - (12 -MiesiąceNajmu))))</f>
        <v>0</v>
      </c>
      <c r="I130" s="166">
        <f t="shared" si="8"/>
        <v>0</v>
      </c>
      <c r="J130" s="152" t="str">
        <f>IF(Tabela3[[#This Row],[Rok]]&gt;HoryzontInwestycyjny,"",IF(ZmianaKosztów="TAK",Inflacja,0))</f>
        <v/>
      </c>
      <c r="K130" s="155"/>
      <c r="L130" s="155"/>
      <c r="M130" s="155"/>
      <c r="N130" s="171" cm="1">
        <f t="array" ref="N130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30" s="171" cm="1">
        <f t="array" ref="O130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30" s="155" cm="1">
        <f t="array" ref="P130">IF(Tabela3[[#This Row],[Rok]]&gt;HoryzontInwestycyjny,0,IF(12-Tabela3[[#This Row],[Liczba wynajętych miesięcy w roku]]&gt;0, (12-Tabela3[[#This Row],[Liczba wynajętych miesięcy w roku]]) *CzynszWspólnoty* IF(ZmianaKosztów="Tak", PRODUCT(1+J$54:INDEX($J$54:J130, ROWS($D$54:D130)-1)), 1), 0))</f>
        <v>0</v>
      </c>
      <c r="Q130" s="170">
        <f>IF(Tabela3[[#This Row],[Rok]]&gt;HoryzontInwestycyjny,0,SUMIF(Kredyt!$E:$E,Tabela3[[#This Row],[Rok]],Kredyt!$I:$I))</f>
        <v>0</v>
      </c>
      <c r="R130" s="171">
        <f>IF(Tabela3[[#This Row],[Rok]]&gt;HoryzontInwestycyjny,0,SUMIF(Kredyt!$E:$E,Tabela3[[#This Row],[Rok]],Kredyt!$J:$J))</f>
        <v>0</v>
      </c>
      <c r="S130" s="155">
        <f>Tabela3[[#This Row],[Rata kredytu: odsetki]]+Tabela3[[#This Row],[Rata kredytu: kapitał]]</f>
        <v>0</v>
      </c>
      <c r="T130" s="169" cm="1">
        <f t="array" ref="T130">IF(Tabela3[[#This Row],[Rok]]&gt;HoryzontInwestycyjny,0,IFERROR(INDEX(Kredyt!$M:$M,11+Tabela3[[#This Row],[Rok]]*12) * UbezŻyć,""))</f>
        <v>0</v>
      </c>
      <c r="U130" s="155" cm="1">
        <f t="array" ref="U130">IF(Tabela3[[#This Row],[Rok]]&gt;HoryzontInwestycyjny,0,IF(CzasKredytu&gt;=Tabela3[[#This Row],[Rok]],IF(ZmianaKosztów="Tak",UbezMiesz* PRODUCT(1+J130:J130), UbezMiesz),""))</f>
        <v>0</v>
      </c>
      <c r="V130" s="155" cm="1">
        <f t="array" ref="V130">IF(Tabela3[[#This Row],[Rok]]&gt;HoryzontInwestycyjny,0,IF(ZmianaKosztów="Tak", PodatekOdNieruchomości * PRODUCT(1+J$54:J129), PodNie))</f>
        <v>0</v>
      </c>
      <c r="W130" s="155">
        <f>KosztyZarządzania*Tabela3[[#This Row],[Przychody z wynajmu]]</f>
        <v>0</v>
      </c>
      <c r="X130" s="155" cm="1">
        <f t="array" ref="X130">IF(Tabela3[[#This Row],[Rok]]&gt;HoryzontInwestycyjny,0,IF(ZmianaKosztów="Tak", InneKosztyRocznie* PRODUCT(1+J$55:J130), InneKosztyRocznie))</f>
        <v>0</v>
      </c>
      <c r="Y130" s="155">
        <f>SUM(Tabela3[[#This Row],[Cena mieszkania + remont początkowy]:[Inne koszty]])-Tabela3[[#This Row],[Rata kredytu]]</f>
        <v>0</v>
      </c>
      <c r="Z130" s="155">
        <f>IF(Tabela3[[#This Row],[Przychody z wynajmu]]&lt;=100000, Tabela3[[#This Row],[Przychody z wynajmu]]*MałyPodatek, 100000*MałyPodatek + (Tabela3[[#This Row],[Przychody z wynajmu]]-100000)*DużyPodatek)</f>
        <v>0</v>
      </c>
      <c r="AA130" s="155">
        <f>Tabela3[[#This Row],[Wydatki związane z najmem całkowite]]+Tabela3[[#This Row],[Podatek od przychodu]]</f>
        <v>0</v>
      </c>
      <c r="AB130" s="155">
        <f>IF(Tabela3[[#This Row],[Rok]]&gt;HoryzontInwestycyjny,0,Tabela3[[#This Row],[Przychody z wynajmu]]-Tabela3[[#This Row],[Wydatki związane z najmem całkowite]]-Tabela3[[#This Row],[Podatek od przychodu]])</f>
        <v>0</v>
      </c>
      <c r="AC130" s="155">
        <f>IF(Tabela3[[#This Row],[Rok]]&gt;HoryzontInwestycyjny,0,AC129+Tabela3[[#This Row],[Wynik z najmu netto rocznie]])</f>
        <v>0</v>
      </c>
      <c r="AD130" s="176" t="str">
        <f>IF(Tabela3[[#This Row],[Rok]]&gt;HoryzontInwestycyjny,"",IF(ZmianaWartościNieruchomości="Inflacyjnie",Inflacja,0))</f>
        <v/>
      </c>
      <c r="AE130" s="177" t="str">
        <f>IF(Tabela3[[#This Row],[Rok]]&gt;HoryzontInwestycyjny,"",StałyProcentZmianyWartościNieruchomości)</f>
        <v/>
      </c>
      <c r="AF130" s="178" t="str">
        <f>IF(Tabela3[[#This Row],[Rok]]&gt;HoryzontInwestycyjny,"",StałaKwotaZmianyWartościNieruchomości)</f>
        <v/>
      </c>
      <c r="AG130" s="155">
        <f>IF(Tabela3[[#This Row],[Rok]]&gt;HoryzontInwestycyjny,0,IF(ZmianaWartościNieruchomości="bez zmian",AG129,IF(ZmianaWartościNieruchomości="inflacyjnie",AG129*(1+Tabela3[[#This Row],[Inflacja3]]),IF(ZmianaWartościNieruchomości="stały %",AG129*(1+Tabela3[[#This Row],[Stały % zmiany warrtości]]),IF(ZmianaWartościNieruchomości="stała kwota",AG129+AF130,AG129)))))</f>
        <v>0</v>
      </c>
      <c r="AH130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30" s="177" cm="1">
        <f t="array" ref="AI130">Tabela3[[#This Row],[Wynik z najmu netto rocznie]]/IF(CzyKredyt="Tak",WydanaGotówka2,WydanaGotówka1)</f>
        <v>0</v>
      </c>
      <c r="AJ130" s="177" cm="1">
        <f t="array" ref="AJ130">Tabela3[[#This Row],[Wynik z najmu netto rocznie]]/IF(CzyKredyt="Tak",SumaKosztówPoczątkowychInwestycji,SumaKosztów)</f>
        <v>0</v>
      </c>
      <c r="AK130" s="155" cm="1">
        <f t="array" ref="AK130">IF(Tabela3[[#This Row],[Rok]]&gt;HoryzontInwestycyjny,0,-IF(CzyKredyt="Tak",WydanaGotówka2,WydanaGotówka1)+Tabela3[[#This Row],[Skumulowany wynik z najmu netto z najmu]])</f>
        <v>0</v>
      </c>
    </row>
    <row r="131" spans="3:37">
      <c r="C131" s="168">
        <v>78</v>
      </c>
      <c r="D131" s="152">
        <f t="shared" si="4"/>
        <v>0.02</v>
      </c>
      <c r="E131" s="152">
        <f t="shared" si="5"/>
        <v>0.04</v>
      </c>
      <c r="F131" s="167">
        <f t="shared" si="6"/>
        <v>150</v>
      </c>
      <c r="G131" s="151">
        <f>IF(Tabela3[[#This Row],[Rok]]&gt;HoryzontInwestycyjny,0,IF(ZmianaOdstępnego="bez zmian",G130,IF(ZmianaOdstępnego="inflacyjnie",G130*(1+Wyniki2!$D131),IF(ZmianaOdstępnego="stały %",G130*(1+Wyniki2!$E131),IF(ZmianaOdstępnego="stała kwota",G130+Wyniki2!$F131,)))))</f>
        <v>0</v>
      </c>
      <c r="H131" s="165">
        <f>IF(Tabela3[[#This Row],[Rok]]&gt;HoryzontInwestycyjny,0,MAX(0, MiesiąceNajmu - MAX(0, MAX(IFERROR(IF(MOD($C131, MałyRemont) = 0,Czas_MałyRemont, 0),0),IFERROR(IF(MOD($C131,DużyRemont) = 0,Czas_DużyRemont, 0),0)) - (12 -MiesiąceNajmu))))</f>
        <v>0</v>
      </c>
      <c r="I131" s="166">
        <f t="shared" si="8"/>
        <v>0</v>
      </c>
      <c r="J131" s="152" t="str">
        <f>IF(Tabela3[[#This Row],[Rok]]&gt;HoryzontInwestycyjny,"",IF(ZmianaKosztów="TAK",Inflacja,0))</f>
        <v/>
      </c>
      <c r="K131" s="172"/>
      <c r="L131" s="172"/>
      <c r="M131" s="172"/>
      <c r="N131" s="171" cm="1">
        <f t="array" ref="N131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31" s="171" cm="1">
        <f t="array" ref="O131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31" s="155" cm="1">
        <f t="array" ref="P131">IF(Tabela3[[#This Row],[Rok]]&gt;HoryzontInwestycyjny,0,IF(12-Tabela3[[#This Row],[Liczba wynajętych miesięcy w roku]]&gt;0, (12-Tabela3[[#This Row],[Liczba wynajętych miesięcy w roku]]) *CzynszWspólnoty* IF(ZmianaKosztów="Tak", PRODUCT(1+J$54:INDEX($J$54:J131, ROWS($D$54:D131)-1)), 1), 0))</f>
        <v>0</v>
      </c>
      <c r="Q131" s="170">
        <f>IF(Tabela3[[#This Row],[Rok]]&gt;HoryzontInwestycyjny,0,SUMIF(Kredyt!$E:$E,Tabela3[[#This Row],[Rok]],Kredyt!$I:$I))</f>
        <v>0</v>
      </c>
      <c r="R131" s="171">
        <f>IF(Tabela3[[#This Row],[Rok]]&gt;HoryzontInwestycyjny,0,SUMIF(Kredyt!$E:$E,Tabela3[[#This Row],[Rok]],Kredyt!$J:$J))</f>
        <v>0</v>
      </c>
      <c r="S131" s="172">
        <f>Tabela3[[#This Row],[Rata kredytu: odsetki]]+Tabela3[[#This Row],[Rata kredytu: kapitał]]</f>
        <v>0</v>
      </c>
      <c r="T131" s="169" cm="1">
        <f t="array" ref="T131">IF(Tabela3[[#This Row],[Rok]]&gt;HoryzontInwestycyjny,0,IFERROR(INDEX(Kredyt!$M:$M,11+Tabela3[[#This Row],[Rok]]*12) * UbezŻyć,""))</f>
        <v>0</v>
      </c>
      <c r="U131" s="155" cm="1">
        <f t="array" ref="U131">IF(Tabela3[[#This Row],[Rok]]&gt;HoryzontInwestycyjny,0,IF(CzasKredytu&gt;=Tabela3[[#This Row],[Rok]],IF(ZmianaKosztów="Tak",UbezMiesz* PRODUCT(1+J131:J131), UbezMiesz),""))</f>
        <v>0</v>
      </c>
      <c r="V131" s="155" cm="1">
        <f t="array" ref="V131">IF(Tabela3[[#This Row],[Rok]]&gt;HoryzontInwestycyjny,0,IF(ZmianaKosztów="Tak", PodatekOdNieruchomości * PRODUCT(1+J$54:J130), PodNie))</f>
        <v>0</v>
      </c>
      <c r="W131" s="155">
        <f>KosztyZarządzania*Tabela3[[#This Row],[Przychody z wynajmu]]</f>
        <v>0</v>
      </c>
      <c r="X131" s="155" cm="1">
        <f t="array" ref="X131">IF(Tabela3[[#This Row],[Rok]]&gt;HoryzontInwestycyjny,0,IF(ZmianaKosztów="Tak", InneKosztyRocznie* PRODUCT(1+J$55:J131), InneKosztyRocznie))</f>
        <v>0</v>
      </c>
      <c r="Y131" s="155">
        <f>SUM(Tabela3[[#This Row],[Cena mieszkania + remont początkowy]:[Inne koszty]])-Tabela3[[#This Row],[Rata kredytu]]</f>
        <v>0</v>
      </c>
      <c r="Z131" s="155">
        <f>IF(Tabela3[[#This Row],[Przychody z wynajmu]]&lt;=100000, Tabela3[[#This Row],[Przychody z wynajmu]]*MałyPodatek, 100000*MałyPodatek + (Tabela3[[#This Row],[Przychody z wynajmu]]-100000)*DużyPodatek)</f>
        <v>0</v>
      </c>
      <c r="AA131" s="155">
        <f>Tabela3[[#This Row],[Wydatki związane z najmem całkowite]]+Tabela3[[#This Row],[Podatek od przychodu]]</f>
        <v>0</v>
      </c>
      <c r="AB131" s="155">
        <f>IF(Tabela3[[#This Row],[Rok]]&gt;HoryzontInwestycyjny,0,Tabela3[[#This Row],[Przychody z wynajmu]]-Tabela3[[#This Row],[Wydatki związane z najmem całkowite]]-Tabela3[[#This Row],[Podatek od przychodu]])</f>
        <v>0</v>
      </c>
      <c r="AC131" s="155">
        <f>IF(Tabela3[[#This Row],[Rok]]&gt;HoryzontInwestycyjny,0,AC130+Tabela3[[#This Row],[Wynik z najmu netto rocznie]])</f>
        <v>0</v>
      </c>
      <c r="AD131" s="176" t="str">
        <f>IF(Tabela3[[#This Row],[Rok]]&gt;HoryzontInwestycyjny,"",IF(ZmianaWartościNieruchomości="Inflacyjnie",Inflacja,0))</f>
        <v/>
      </c>
      <c r="AE131" s="177" t="str">
        <f>IF(Tabela3[[#This Row],[Rok]]&gt;HoryzontInwestycyjny,"",StałyProcentZmianyWartościNieruchomości)</f>
        <v/>
      </c>
      <c r="AF131" s="178" t="str">
        <f>IF(Tabela3[[#This Row],[Rok]]&gt;HoryzontInwestycyjny,"",StałaKwotaZmianyWartościNieruchomości)</f>
        <v/>
      </c>
      <c r="AG131" s="155">
        <f>IF(Tabela3[[#This Row],[Rok]]&gt;HoryzontInwestycyjny,0,IF(ZmianaWartościNieruchomości="bez zmian",AG130,IF(ZmianaWartościNieruchomości="inflacyjnie",AG130*(1+Tabela3[[#This Row],[Inflacja3]]),IF(ZmianaWartościNieruchomości="stały %",AG130*(1+Tabela3[[#This Row],[Stały % zmiany warrtości]]),IF(ZmianaWartościNieruchomości="stała kwota",AG130+AF131,AG130)))))</f>
        <v>0</v>
      </c>
      <c r="AH131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31" s="177" cm="1">
        <f t="array" ref="AI131">Tabela3[[#This Row],[Wynik z najmu netto rocznie]]/IF(CzyKredyt="Tak",WydanaGotówka2,WydanaGotówka1)</f>
        <v>0</v>
      </c>
      <c r="AJ131" s="177" cm="1">
        <f t="array" ref="AJ131">Tabela3[[#This Row],[Wynik z najmu netto rocznie]]/IF(CzyKredyt="Tak",SumaKosztówPoczątkowychInwestycji,SumaKosztów)</f>
        <v>0</v>
      </c>
      <c r="AK131" s="155" cm="1">
        <f t="array" ref="AK131">IF(Tabela3[[#This Row],[Rok]]&gt;HoryzontInwestycyjny,0,-IF(CzyKredyt="Tak",WydanaGotówka2,WydanaGotówka1)+Tabela3[[#This Row],[Skumulowany wynik z najmu netto z najmu]])</f>
        <v>0</v>
      </c>
    </row>
    <row r="132" spans="3:37">
      <c r="C132" s="158">
        <v>79</v>
      </c>
      <c r="D132" s="152">
        <f t="shared" si="4"/>
        <v>0.02</v>
      </c>
      <c r="E132" s="152">
        <f t="shared" si="5"/>
        <v>0.04</v>
      </c>
      <c r="F132" s="167">
        <f t="shared" si="6"/>
        <v>150</v>
      </c>
      <c r="G132" s="151">
        <f>IF(Tabela3[[#This Row],[Rok]]&gt;HoryzontInwestycyjny,0,IF(ZmianaOdstępnego="bez zmian",G131,IF(ZmianaOdstępnego="inflacyjnie",G131*(1+Wyniki2!$D132),IF(ZmianaOdstępnego="stały %",G131*(1+Wyniki2!$E132),IF(ZmianaOdstępnego="stała kwota",G131+Wyniki2!$F132,)))))</f>
        <v>0</v>
      </c>
      <c r="H132" s="165">
        <f>IF(Tabela3[[#This Row],[Rok]]&gt;HoryzontInwestycyjny,0,MAX(0, MiesiąceNajmu - MAX(0, MAX(IFERROR(IF(MOD($C132, MałyRemont) = 0,Czas_MałyRemont, 0),0),IFERROR(IF(MOD($C132,DużyRemont) = 0,Czas_DużyRemont, 0),0)) - (12 -MiesiąceNajmu))))</f>
        <v>0</v>
      </c>
      <c r="I132" s="166">
        <f t="shared" si="8"/>
        <v>0</v>
      </c>
      <c r="J132" s="152" t="str">
        <f>IF(Tabela3[[#This Row],[Rok]]&gt;HoryzontInwestycyjny,"",IF(ZmianaKosztów="TAK",Inflacja,0))</f>
        <v/>
      </c>
      <c r="K132" s="155"/>
      <c r="L132" s="155"/>
      <c r="M132" s="155"/>
      <c r="N132" s="171" cm="1">
        <f t="array" ref="N132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32" s="171" cm="1">
        <f t="array" ref="O132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32" s="155" cm="1">
        <f t="array" ref="P132">IF(Tabela3[[#This Row],[Rok]]&gt;HoryzontInwestycyjny,0,IF(12-Tabela3[[#This Row],[Liczba wynajętych miesięcy w roku]]&gt;0, (12-Tabela3[[#This Row],[Liczba wynajętych miesięcy w roku]]) *CzynszWspólnoty* IF(ZmianaKosztów="Tak", PRODUCT(1+J$54:INDEX($J$54:J132, ROWS($D$54:D132)-1)), 1), 0))</f>
        <v>0</v>
      </c>
      <c r="Q132" s="170">
        <f>IF(Tabela3[[#This Row],[Rok]]&gt;HoryzontInwestycyjny,0,SUMIF(Kredyt!$E:$E,Tabela3[[#This Row],[Rok]],Kredyt!$I:$I))</f>
        <v>0</v>
      </c>
      <c r="R132" s="171">
        <f>IF(Tabela3[[#This Row],[Rok]]&gt;HoryzontInwestycyjny,0,SUMIF(Kredyt!$E:$E,Tabela3[[#This Row],[Rok]],Kredyt!$J:$J))</f>
        <v>0</v>
      </c>
      <c r="S132" s="155">
        <f>Tabela3[[#This Row],[Rata kredytu: odsetki]]+Tabela3[[#This Row],[Rata kredytu: kapitał]]</f>
        <v>0</v>
      </c>
      <c r="T132" s="169" cm="1">
        <f t="array" ref="T132">IF(Tabela3[[#This Row],[Rok]]&gt;HoryzontInwestycyjny,0,IFERROR(INDEX(Kredyt!$M:$M,11+Tabela3[[#This Row],[Rok]]*12) * UbezŻyć,""))</f>
        <v>0</v>
      </c>
      <c r="U132" s="155" cm="1">
        <f t="array" ref="U132">IF(Tabela3[[#This Row],[Rok]]&gt;HoryzontInwestycyjny,0,IF(CzasKredytu&gt;=Tabela3[[#This Row],[Rok]],IF(ZmianaKosztów="Tak",UbezMiesz* PRODUCT(1+J132:J132), UbezMiesz),""))</f>
        <v>0</v>
      </c>
      <c r="V132" s="155" cm="1">
        <f t="array" ref="V132">IF(Tabela3[[#This Row],[Rok]]&gt;HoryzontInwestycyjny,0,IF(ZmianaKosztów="Tak", PodatekOdNieruchomości * PRODUCT(1+J$54:J131), PodNie))</f>
        <v>0</v>
      </c>
      <c r="W132" s="155">
        <f>KosztyZarządzania*Tabela3[[#This Row],[Przychody z wynajmu]]</f>
        <v>0</v>
      </c>
      <c r="X132" s="155" cm="1">
        <f t="array" ref="X132">IF(Tabela3[[#This Row],[Rok]]&gt;HoryzontInwestycyjny,0,IF(ZmianaKosztów="Tak", InneKosztyRocznie* PRODUCT(1+J$55:J132), InneKosztyRocznie))</f>
        <v>0</v>
      </c>
      <c r="Y132" s="155">
        <f>SUM(Tabela3[[#This Row],[Cena mieszkania + remont początkowy]:[Inne koszty]])-Tabela3[[#This Row],[Rata kredytu]]</f>
        <v>0</v>
      </c>
      <c r="Z132" s="155">
        <f>IF(Tabela3[[#This Row],[Przychody z wynajmu]]&lt;=100000, Tabela3[[#This Row],[Przychody z wynajmu]]*MałyPodatek, 100000*MałyPodatek + (Tabela3[[#This Row],[Przychody z wynajmu]]-100000)*DużyPodatek)</f>
        <v>0</v>
      </c>
      <c r="AA132" s="155">
        <f>Tabela3[[#This Row],[Wydatki związane z najmem całkowite]]+Tabela3[[#This Row],[Podatek od przychodu]]</f>
        <v>0</v>
      </c>
      <c r="AB132" s="155">
        <f>IF(Tabela3[[#This Row],[Rok]]&gt;HoryzontInwestycyjny,0,Tabela3[[#This Row],[Przychody z wynajmu]]-Tabela3[[#This Row],[Wydatki związane z najmem całkowite]]-Tabela3[[#This Row],[Podatek od przychodu]])</f>
        <v>0</v>
      </c>
      <c r="AC132" s="155">
        <f>IF(Tabela3[[#This Row],[Rok]]&gt;HoryzontInwestycyjny,0,AC131+Tabela3[[#This Row],[Wynik z najmu netto rocznie]])</f>
        <v>0</v>
      </c>
      <c r="AD132" s="176" t="str">
        <f>IF(Tabela3[[#This Row],[Rok]]&gt;HoryzontInwestycyjny,"",IF(ZmianaWartościNieruchomości="Inflacyjnie",Inflacja,0))</f>
        <v/>
      </c>
      <c r="AE132" s="177" t="str">
        <f>IF(Tabela3[[#This Row],[Rok]]&gt;HoryzontInwestycyjny,"",StałyProcentZmianyWartościNieruchomości)</f>
        <v/>
      </c>
      <c r="AF132" s="178" t="str">
        <f>IF(Tabela3[[#This Row],[Rok]]&gt;HoryzontInwestycyjny,"",StałaKwotaZmianyWartościNieruchomości)</f>
        <v/>
      </c>
      <c r="AG132" s="155">
        <f>IF(Tabela3[[#This Row],[Rok]]&gt;HoryzontInwestycyjny,0,IF(ZmianaWartościNieruchomości="bez zmian",AG131,IF(ZmianaWartościNieruchomości="inflacyjnie",AG131*(1+Tabela3[[#This Row],[Inflacja3]]),IF(ZmianaWartościNieruchomości="stały %",AG131*(1+Tabela3[[#This Row],[Stały % zmiany warrtości]]),IF(ZmianaWartościNieruchomości="stała kwota",AG131+AF132,AG131)))))</f>
        <v>0</v>
      </c>
      <c r="AH132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32" s="177" cm="1">
        <f t="array" ref="AI132">Tabela3[[#This Row],[Wynik z najmu netto rocznie]]/IF(CzyKredyt="Tak",WydanaGotówka2,WydanaGotówka1)</f>
        <v>0</v>
      </c>
      <c r="AJ132" s="177" cm="1">
        <f t="array" ref="AJ132">Tabela3[[#This Row],[Wynik z najmu netto rocznie]]/IF(CzyKredyt="Tak",SumaKosztówPoczątkowychInwestycji,SumaKosztów)</f>
        <v>0</v>
      </c>
      <c r="AK132" s="155" cm="1">
        <f t="array" ref="AK132">IF(Tabela3[[#This Row],[Rok]]&gt;HoryzontInwestycyjny,0,-IF(CzyKredyt="Tak",WydanaGotówka2,WydanaGotówka1)+Tabela3[[#This Row],[Skumulowany wynik z najmu netto z najmu]])</f>
        <v>0</v>
      </c>
    </row>
    <row r="133" spans="3:37">
      <c r="C133" s="168">
        <v>80</v>
      </c>
      <c r="D133" s="152">
        <f t="shared" si="4"/>
        <v>0.02</v>
      </c>
      <c r="E133" s="152">
        <f t="shared" si="5"/>
        <v>0.04</v>
      </c>
      <c r="F133" s="167">
        <f t="shared" si="6"/>
        <v>150</v>
      </c>
      <c r="G133" s="151">
        <f>IF(Tabela3[[#This Row],[Rok]]&gt;HoryzontInwestycyjny,0,IF(ZmianaOdstępnego="bez zmian",G132,IF(ZmianaOdstępnego="inflacyjnie",G132*(1+Wyniki2!$D133),IF(ZmianaOdstępnego="stały %",G132*(1+Wyniki2!$E133),IF(ZmianaOdstępnego="stała kwota",G132+Wyniki2!$F133,)))))</f>
        <v>0</v>
      </c>
      <c r="H133" s="165">
        <f>IF(Tabela3[[#This Row],[Rok]]&gt;HoryzontInwestycyjny,0,MAX(0, MiesiąceNajmu - MAX(0, MAX(IFERROR(IF(MOD($C133, MałyRemont) = 0,Czas_MałyRemont, 0),0),IFERROR(IF(MOD($C133,DużyRemont) = 0,Czas_DużyRemont, 0),0)) - (12 -MiesiąceNajmu))))</f>
        <v>0</v>
      </c>
      <c r="I133" s="166">
        <f t="shared" si="8"/>
        <v>0</v>
      </c>
      <c r="J133" s="152" t="str">
        <f>IF(Tabela3[[#This Row],[Rok]]&gt;HoryzontInwestycyjny,"",IF(ZmianaKosztów="TAK",Inflacja,0))</f>
        <v/>
      </c>
      <c r="K133" s="172"/>
      <c r="L133" s="172"/>
      <c r="M133" s="172"/>
      <c r="N133" s="171" cm="1">
        <f t="array" ref="N133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33" s="171" cm="1">
        <f t="array" ref="O133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33" s="155" cm="1">
        <f t="array" ref="P133">IF(Tabela3[[#This Row],[Rok]]&gt;HoryzontInwestycyjny,0,IF(12-Tabela3[[#This Row],[Liczba wynajętych miesięcy w roku]]&gt;0, (12-Tabela3[[#This Row],[Liczba wynajętych miesięcy w roku]]) *CzynszWspólnoty* IF(ZmianaKosztów="Tak", PRODUCT(1+J$54:INDEX($J$54:J133, ROWS($D$54:D133)-1)), 1), 0))</f>
        <v>0</v>
      </c>
      <c r="Q133" s="170">
        <f>IF(Tabela3[[#This Row],[Rok]]&gt;HoryzontInwestycyjny,0,SUMIF(Kredyt!$E:$E,Tabela3[[#This Row],[Rok]],Kredyt!$I:$I))</f>
        <v>0</v>
      </c>
      <c r="R133" s="171">
        <f>IF(Tabela3[[#This Row],[Rok]]&gt;HoryzontInwestycyjny,0,SUMIF(Kredyt!$E:$E,Tabela3[[#This Row],[Rok]],Kredyt!$J:$J))</f>
        <v>0</v>
      </c>
      <c r="S133" s="172">
        <f>Tabela3[[#This Row],[Rata kredytu: odsetki]]+Tabela3[[#This Row],[Rata kredytu: kapitał]]</f>
        <v>0</v>
      </c>
      <c r="T133" s="169" cm="1">
        <f t="array" ref="T133">IF(Tabela3[[#This Row],[Rok]]&gt;HoryzontInwestycyjny,0,IFERROR(INDEX(Kredyt!$M:$M,11+Tabela3[[#This Row],[Rok]]*12) * UbezŻyć,""))</f>
        <v>0</v>
      </c>
      <c r="U133" s="155" cm="1">
        <f t="array" ref="U133">IF(Tabela3[[#This Row],[Rok]]&gt;HoryzontInwestycyjny,0,IF(CzasKredytu&gt;=Tabela3[[#This Row],[Rok]],IF(ZmianaKosztów="Tak",UbezMiesz* PRODUCT(1+J133:J133), UbezMiesz),""))</f>
        <v>0</v>
      </c>
      <c r="V133" s="155" cm="1">
        <f t="array" ref="V133">IF(Tabela3[[#This Row],[Rok]]&gt;HoryzontInwestycyjny,0,IF(ZmianaKosztów="Tak", PodatekOdNieruchomości * PRODUCT(1+J$54:J132), PodNie))</f>
        <v>0</v>
      </c>
      <c r="W133" s="155">
        <f>KosztyZarządzania*Tabela3[[#This Row],[Przychody z wynajmu]]</f>
        <v>0</v>
      </c>
      <c r="X133" s="155" cm="1">
        <f t="array" ref="X133">IF(Tabela3[[#This Row],[Rok]]&gt;HoryzontInwestycyjny,0,IF(ZmianaKosztów="Tak", InneKosztyRocznie* PRODUCT(1+J$55:J133), InneKosztyRocznie))</f>
        <v>0</v>
      </c>
      <c r="Y133" s="155">
        <f>SUM(Tabela3[[#This Row],[Cena mieszkania + remont początkowy]:[Inne koszty]])-Tabela3[[#This Row],[Rata kredytu]]</f>
        <v>0</v>
      </c>
      <c r="Z133" s="155">
        <f>IF(Tabela3[[#This Row],[Przychody z wynajmu]]&lt;=100000, Tabela3[[#This Row],[Przychody z wynajmu]]*MałyPodatek, 100000*MałyPodatek + (Tabela3[[#This Row],[Przychody z wynajmu]]-100000)*DużyPodatek)</f>
        <v>0</v>
      </c>
      <c r="AA133" s="155">
        <f>Tabela3[[#This Row],[Wydatki związane z najmem całkowite]]+Tabela3[[#This Row],[Podatek od przychodu]]</f>
        <v>0</v>
      </c>
      <c r="AB133" s="155">
        <f>IF(Tabela3[[#This Row],[Rok]]&gt;HoryzontInwestycyjny,0,Tabela3[[#This Row],[Przychody z wynajmu]]-Tabela3[[#This Row],[Wydatki związane z najmem całkowite]]-Tabela3[[#This Row],[Podatek od przychodu]])</f>
        <v>0</v>
      </c>
      <c r="AC133" s="155">
        <f>IF(Tabela3[[#This Row],[Rok]]&gt;HoryzontInwestycyjny,0,AC132+Tabela3[[#This Row],[Wynik z najmu netto rocznie]])</f>
        <v>0</v>
      </c>
      <c r="AD133" s="176" t="str">
        <f>IF(Tabela3[[#This Row],[Rok]]&gt;HoryzontInwestycyjny,"",IF(ZmianaWartościNieruchomości="Inflacyjnie",Inflacja,0))</f>
        <v/>
      </c>
      <c r="AE133" s="177" t="str">
        <f>IF(Tabela3[[#This Row],[Rok]]&gt;HoryzontInwestycyjny,"",StałyProcentZmianyWartościNieruchomości)</f>
        <v/>
      </c>
      <c r="AF133" s="178" t="str">
        <f>IF(Tabela3[[#This Row],[Rok]]&gt;HoryzontInwestycyjny,"",StałaKwotaZmianyWartościNieruchomości)</f>
        <v/>
      </c>
      <c r="AG133" s="155">
        <f>IF(Tabela3[[#This Row],[Rok]]&gt;HoryzontInwestycyjny,0,IF(ZmianaWartościNieruchomości="bez zmian",AG132,IF(ZmianaWartościNieruchomości="inflacyjnie",AG132*(1+Tabela3[[#This Row],[Inflacja3]]),IF(ZmianaWartościNieruchomości="stały %",AG132*(1+Tabela3[[#This Row],[Stały % zmiany warrtości]]),IF(ZmianaWartościNieruchomości="stała kwota",AG132+AF133,AG132)))))</f>
        <v>0</v>
      </c>
      <c r="AH133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33" s="177" cm="1">
        <f t="array" ref="AI133">Tabela3[[#This Row],[Wynik z najmu netto rocznie]]/IF(CzyKredyt="Tak",WydanaGotówka2,WydanaGotówka1)</f>
        <v>0</v>
      </c>
      <c r="AJ133" s="177" cm="1">
        <f t="array" ref="AJ133">Tabela3[[#This Row],[Wynik z najmu netto rocznie]]/IF(CzyKredyt="Tak",SumaKosztówPoczątkowychInwestycji,SumaKosztów)</f>
        <v>0</v>
      </c>
      <c r="AK133" s="155" cm="1">
        <f t="array" ref="AK133">IF(Tabela3[[#This Row],[Rok]]&gt;HoryzontInwestycyjny,0,-IF(CzyKredyt="Tak",WydanaGotówka2,WydanaGotówka1)+Tabela3[[#This Row],[Skumulowany wynik z najmu netto z najmu]])</f>
        <v>0</v>
      </c>
    </row>
    <row r="134" spans="3:37">
      <c r="C134" s="158">
        <v>81</v>
      </c>
      <c r="D134" s="152">
        <f t="shared" si="4"/>
        <v>0.02</v>
      </c>
      <c r="E134" s="152">
        <f t="shared" si="5"/>
        <v>0.04</v>
      </c>
      <c r="F134" s="167">
        <f t="shared" si="6"/>
        <v>150</v>
      </c>
      <c r="G134" s="151">
        <f>IF(Tabela3[[#This Row],[Rok]]&gt;HoryzontInwestycyjny,0,IF(ZmianaOdstępnego="bez zmian",G133,IF(ZmianaOdstępnego="inflacyjnie",G133*(1+Wyniki2!$D134),IF(ZmianaOdstępnego="stały %",G133*(1+Wyniki2!$E134),IF(ZmianaOdstępnego="stała kwota",G133+Wyniki2!$F134,)))))</f>
        <v>0</v>
      </c>
      <c r="H134" s="165">
        <f>IF(Tabela3[[#This Row],[Rok]]&gt;HoryzontInwestycyjny,0,MAX(0, MiesiąceNajmu - MAX(0, MAX(IFERROR(IF(MOD($C134, MałyRemont) = 0,Czas_MałyRemont, 0),0),IFERROR(IF(MOD($C134,DużyRemont) = 0,Czas_DużyRemont, 0),0)) - (12 -MiesiąceNajmu))))</f>
        <v>0</v>
      </c>
      <c r="I134" s="166">
        <f t="shared" si="8"/>
        <v>0</v>
      </c>
      <c r="J134" s="152" t="str">
        <f>IF(Tabela3[[#This Row],[Rok]]&gt;HoryzontInwestycyjny,"",IF(ZmianaKosztów="TAK",Inflacja,0))</f>
        <v/>
      </c>
      <c r="K134" s="155"/>
      <c r="L134" s="155"/>
      <c r="M134" s="155"/>
      <c r="N134" s="171" cm="1">
        <f t="array" ref="N134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34" s="171" cm="1">
        <f t="array" ref="O134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34" s="155" cm="1">
        <f t="array" ref="P134">IF(Tabela3[[#This Row],[Rok]]&gt;HoryzontInwestycyjny,0,IF(12-Tabela3[[#This Row],[Liczba wynajętych miesięcy w roku]]&gt;0, (12-Tabela3[[#This Row],[Liczba wynajętych miesięcy w roku]]) *CzynszWspólnoty* IF(ZmianaKosztów="Tak", PRODUCT(1+J$54:INDEX($J$54:J134, ROWS($D$54:D134)-1)), 1), 0))</f>
        <v>0</v>
      </c>
      <c r="Q134" s="170">
        <f>IF(Tabela3[[#This Row],[Rok]]&gt;HoryzontInwestycyjny,0,SUMIF(Kredyt!$E:$E,Tabela3[[#This Row],[Rok]],Kredyt!$I:$I))</f>
        <v>0</v>
      </c>
      <c r="R134" s="171">
        <f>IF(Tabela3[[#This Row],[Rok]]&gt;HoryzontInwestycyjny,0,SUMIF(Kredyt!$E:$E,Tabela3[[#This Row],[Rok]],Kredyt!$J:$J))</f>
        <v>0</v>
      </c>
      <c r="S134" s="155">
        <f>Tabela3[[#This Row],[Rata kredytu: odsetki]]+Tabela3[[#This Row],[Rata kredytu: kapitał]]</f>
        <v>0</v>
      </c>
      <c r="T134" s="169" cm="1">
        <f t="array" ref="T134">IF(Tabela3[[#This Row],[Rok]]&gt;HoryzontInwestycyjny,0,IFERROR(INDEX(Kredyt!$M:$M,11+Tabela3[[#This Row],[Rok]]*12) * UbezŻyć,""))</f>
        <v>0</v>
      </c>
      <c r="U134" s="155" cm="1">
        <f t="array" ref="U134">IF(Tabela3[[#This Row],[Rok]]&gt;HoryzontInwestycyjny,0,IF(CzasKredytu&gt;=Tabela3[[#This Row],[Rok]],IF(ZmianaKosztów="Tak",UbezMiesz* PRODUCT(1+J134:J134), UbezMiesz),""))</f>
        <v>0</v>
      </c>
      <c r="V134" s="155" cm="1">
        <f t="array" ref="V134">IF(Tabela3[[#This Row],[Rok]]&gt;HoryzontInwestycyjny,0,IF(ZmianaKosztów="Tak", PodatekOdNieruchomości * PRODUCT(1+J$54:J133), PodNie))</f>
        <v>0</v>
      </c>
      <c r="W134" s="155">
        <f>KosztyZarządzania*Tabela3[[#This Row],[Przychody z wynajmu]]</f>
        <v>0</v>
      </c>
      <c r="X134" s="155" cm="1">
        <f t="array" ref="X134">IF(Tabela3[[#This Row],[Rok]]&gt;HoryzontInwestycyjny,0,IF(ZmianaKosztów="Tak", InneKosztyRocznie* PRODUCT(1+J$55:J134), InneKosztyRocznie))</f>
        <v>0</v>
      </c>
      <c r="Y134" s="155">
        <f>SUM(Tabela3[[#This Row],[Cena mieszkania + remont początkowy]:[Inne koszty]])-Tabela3[[#This Row],[Rata kredytu]]</f>
        <v>0</v>
      </c>
      <c r="Z134" s="155">
        <f>IF(Tabela3[[#This Row],[Przychody z wynajmu]]&lt;=100000, Tabela3[[#This Row],[Przychody z wynajmu]]*MałyPodatek, 100000*MałyPodatek + (Tabela3[[#This Row],[Przychody z wynajmu]]-100000)*DużyPodatek)</f>
        <v>0</v>
      </c>
      <c r="AA134" s="155">
        <f>Tabela3[[#This Row],[Wydatki związane z najmem całkowite]]+Tabela3[[#This Row],[Podatek od przychodu]]</f>
        <v>0</v>
      </c>
      <c r="AB134" s="155">
        <f>IF(Tabela3[[#This Row],[Rok]]&gt;HoryzontInwestycyjny,0,Tabela3[[#This Row],[Przychody z wynajmu]]-Tabela3[[#This Row],[Wydatki związane z najmem całkowite]]-Tabela3[[#This Row],[Podatek od przychodu]])</f>
        <v>0</v>
      </c>
      <c r="AC134" s="155">
        <f>IF(Tabela3[[#This Row],[Rok]]&gt;HoryzontInwestycyjny,0,AC133+Tabela3[[#This Row],[Wynik z najmu netto rocznie]])</f>
        <v>0</v>
      </c>
      <c r="AD134" s="176" t="str">
        <f>IF(Tabela3[[#This Row],[Rok]]&gt;HoryzontInwestycyjny,"",IF(ZmianaWartościNieruchomości="Inflacyjnie",Inflacja,0))</f>
        <v/>
      </c>
      <c r="AE134" s="177" t="str">
        <f>IF(Tabela3[[#This Row],[Rok]]&gt;HoryzontInwestycyjny,"",StałyProcentZmianyWartościNieruchomości)</f>
        <v/>
      </c>
      <c r="AF134" s="178" t="str">
        <f>IF(Tabela3[[#This Row],[Rok]]&gt;HoryzontInwestycyjny,"",StałaKwotaZmianyWartościNieruchomości)</f>
        <v/>
      </c>
      <c r="AG134" s="155">
        <f>IF(Tabela3[[#This Row],[Rok]]&gt;HoryzontInwestycyjny,0,IF(ZmianaWartościNieruchomości="bez zmian",AG133,IF(ZmianaWartościNieruchomości="inflacyjnie",AG133*(1+Tabela3[[#This Row],[Inflacja3]]),IF(ZmianaWartościNieruchomości="stały %",AG133*(1+Tabela3[[#This Row],[Stały % zmiany warrtości]]),IF(ZmianaWartościNieruchomości="stała kwota",AG133+AF134,AG133)))))</f>
        <v>0</v>
      </c>
      <c r="AH134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34" s="177" cm="1">
        <f t="array" ref="AI134">Tabela3[[#This Row],[Wynik z najmu netto rocznie]]/IF(CzyKredyt="Tak",WydanaGotówka2,WydanaGotówka1)</f>
        <v>0</v>
      </c>
      <c r="AJ134" s="177" cm="1">
        <f t="array" ref="AJ134">Tabela3[[#This Row],[Wynik z najmu netto rocznie]]/IF(CzyKredyt="Tak",SumaKosztówPoczątkowychInwestycji,SumaKosztów)</f>
        <v>0</v>
      </c>
      <c r="AK134" s="155" cm="1">
        <f t="array" ref="AK134">IF(Tabela3[[#This Row],[Rok]]&gt;HoryzontInwestycyjny,0,-IF(CzyKredyt="Tak",WydanaGotówka2,WydanaGotówka1)+Tabela3[[#This Row],[Skumulowany wynik z najmu netto z najmu]])</f>
        <v>0</v>
      </c>
    </row>
    <row r="135" spans="3:37">
      <c r="C135" s="168">
        <v>82</v>
      </c>
      <c r="D135" s="152">
        <f t="shared" si="4"/>
        <v>0.02</v>
      </c>
      <c r="E135" s="152">
        <f t="shared" si="5"/>
        <v>0.04</v>
      </c>
      <c r="F135" s="167">
        <f t="shared" si="6"/>
        <v>150</v>
      </c>
      <c r="G135" s="151">
        <f>IF(Tabela3[[#This Row],[Rok]]&gt;HoryzontInwestycyjny,0,IF(ZmianaOdstępnego="bez zmian",G134,IF(ZmianaOdstępnego="inflacyjnie",G134*(1+Wyniki2!$D135),IF(ZmianaOdstępnego="stały %",G134*(1+Wyniki2!$E135),IF(ZmianaOdstępnego="stała kwota",G134+Wyniki2!$F135,)))))</f>
        <v>0</v>
      </c>
      <c r="H135" s="165">
        <f>IF(Tabela3[[#This Row],[Rok]]&gt;HoryzontInwestycyjny,0,MAX(0, MiesiąceNajmu - MAX(0, MAX(IFERROR(IF(MOD($C135, MałyRemont) = 0,Czas_MałyRemont, 0),0),IFERROR(IF(MOD($C135,DużyRemont) = 0,Czas_DużyRemont, 0),0)) - (12 -MiesiąceNajmu))))</f>
        <v>0</v>
      </c>
      <c r="I135" s="166">
        <f t="shared" si="8"/>
        <v>0</v>
      </c>
      <c r="J135" s="152" t="str">
        <f>IF(Tabela3[[#This Row],[Rok]]&gt;HoryzontInwestycyjny,"",IF(ZmianaKosztów="TAK",Inflacja,0))</f>
        <v/>
      </c>
      <c r="K135" s="172"/>
      <c r="L135" s="172"/>
      <c r="M135" s="172"/>
      <c r="N135" s="171" cm="1">
        <f t="array" ref="N135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35" s="171" cm="1">
        <f t="array" ref="O135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35" s="155" cm="1">
        <f t="array" ref="P135">IF(Tabela3[[#This Row],[Rok]]&gt;HoryzontInwestycyjny,0,IF(12-Tabela3[[#This Row],[Liczba wynajętych miesięcy w roku]]&gt;0, (12-Tabela3[[#This Row],[Liczba wynajętych miesięcy w roku]]) *CzynszWspólnoty* IF(ZmianaKosztów="Tak", PRODUCT(1+J$54:INDEX($J$54:J135, ROWS($D$54:D135)-1)), 1), 0))</f>
        <v>0</v>
      </c>
      <c r="Q135" s="170">
        <f>IF(Tabela3[[#This Row],[Rok]]&gt;HoryzontInwestycyjny,0,SUMIF(Kredyt!$E:$E,Tabela3[[#This Row],[Rok]],Kredyt!$I:$I))</f>
        <v>0</v>
      </c>
      <c r="R135" s="171">
        <f>IF(Tabela3[[#This Row],[Rok]]&gt;HoryzontInwestycyjny,0,SUMIF(Kredyt!$E:$E,Tabela3[[#This Row],[Rok]],Kredyt!$J:$J))</f>
        <v>0</v>
      </c>
      <c r="S135" s="172">
        <f>Tabela3[[#This Row],[Rata kredytu: odsetki]]+Tabela3[[#This Row],[Rata kredytu: kapitał]]</f>
        <v>0</v>
      </c>
      <c r="T135" s="169" cm="1">
        <f t="array" ref="T135">IF(Tabela3[[#This Row],[Rok]]&gt;HoryzontInwestycyjny,0,IFERROR(INDEX(Kredyt!$M:$M,11+Tabela3[[#This Row],[Rok]]*12) * UbezŻyć,""))</f>
        <v>0</v>
      </c>
      <c r="U135" s="155" cm="1">
        <f t="array" ref="U135">IF(Tabela3[[#This Row],[Rok]]&gt;HoryzontInwestycyjny,0,IF(CzasKredytu&gt;=Tabela3[[#This Row],[Rok]],IF(ZmianaKosztów="Tak",UbezMiesz* PRODUCT(1+J135:J135), UbezMiesz),""))</f>
        <v>0</v>
      </c>
      <c r="V135" s="155" cm="1">
        <f t="array" ref="V135">IF(Tabela3[[#This Row],[Rok]]&gt;HoryzontInwestycyjny,0,IF(ZmianaKosztów="Tak", PodatekOdNieruchomości * PRODUCT(1+J$54:J134), PodNie))</f>
        <v>0</v>
      </c>
      <c r="W135" s="155">
        <f>KosztyZarządzania*Tabela3[[#This Row],[Przychody z wynajmu]]</f>
        <v>0</v>
      </c>
      <c r="X135" s="155" cm="1">
        <f t="array" ref="X135">IF(Tabela3[[#This Row],[Rok]]&gt;HoryzontInwestycyjny,0,IF(ZmianaKosztów="Tak", InneKosztyRocznie* PRODUCT(1+J$55:J135), InneKosztyRocznie))</f>
        <v>0</v>
      </c>
      <c r="Y135" s="155">
        <f>SUM(Tabela3[[#This Row],[Cena mieszkania + remont początkowy]:[Inne koszty]])-Tabela3[[#This Row],[Rata kredytu]]</f>
        <v>0</v>
      </c>
      <c r="Z135" s="155">
        <f>IF(Tabela3[[#This Row],[Przychody z wynajmu]]&lt;=100000, Tabela3[[#This Row],[Przychody z wynajmu]]*MałyPodatek, 100000*MałyPodatek + (Tabela3[[#This Row],[Przychody z wynajmu]]-100000)*DużyPodatek)</f>
        <v>0</v>
      </c>
      <c r="AA135" s="155">
        <f>Tabela3[[#This Row],[Wydatki związane z najmem całkowite]]+Tabela3[[#This Row],[Podatek od przychodu]]</f>
        <v>0</v>
      </c>
      <c r="AB135" s="155">
        <f>IF(Tabela3[[#This Row],[Rok]]&gt;HoryzontInwestycyjny,0,Tabela3[[#This Row],[Przychody z wynajmu]]-Tabela3[[#This Row],[Wydatki związane z najmem całkowite]]-Tabela3[[#This Row],[Podatek od przychodu]])</f>
        <v>0</v>
      </c>
      <c r="AC135" s="155">
        <f>IF(Tabela3[[#This Row],[Rok]]&gt;HoryzontInwestycyjny,0,AC134+Tabela3[[#This Row],[Wynik z najmu netto rocznie]])</f>
        <v>0</v>
      </c>
      <c r="AD135" s="176" t="str">
        <f>IF(Tabela3[[#This Row],[Rok]]&gt;HoryzontInwestycyjny,"",IF(ZmianaWartościNieruchomości="Inflacyjnie",Inflacja,0))</f>
        <v/>
      </c>
      <c r="AE135" s="177" t="str">
        <f>IF(Tabela3[[#This Row],[Rok]]&gt;HoryzontInwestycyjny,"",StałyProcentZmianyWartościNieruchomości)</f>
        <v/>
      </c>
      <c r="AF135" s="178" t="str">
        <f>IF(Tabela3[[#This Row],[Rok]]&gt;HoryzontInwestycyjny,"",StałaKwotaZmianyWartościNieruchomości)</f>
        <v/>
      </c>
      <c r="AG135" s="155">
        <f>IF(Tabela3[[#This Row],[Rok]]&gt;HoryzontInwestycyjny,0,IF(ZmianaWartościNieruchomości="bez zmian",AG134,IF(ZmianaWartościNieruchomości="inflacyjnie",AG134*(1+Tabela3[[#This Row],[Inflacja3]]),IF(ZmianaWartościNieruchomości="stały %",AG134*(1+Tabela3[[#This Row],[Stały % zmiany warrtości]]),IF(ZmianaWartościNieruchomości="stała kwota",AG134+AF135,AG134)))))</f>
        <v>0</v>
      </c>
      <c r="AH135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35" s="177" cm="1">
        <f t="array" ref="AI135">Tabela3[[#This Row],[Wynik z najmu netto rocznie]]/IF(CzyKredyt="Tak",WydanaGotówka2,WydanaGotówka1)</f>
        <v>0</v>
      </c>
      <c r="AJ135" s="177" cm="1">
        <f t="array" ref="AJ135">Tabela3[[#This Row],[Wynik z najmu netto rocznie]]/IF(CzyKredyt="Tak",SumaKosztówPoczątkowychInwestycji,SumaKosztów)</f>
        <v>0</v>
      </c>
      <c r="AK135" s="155" cm="1">
        <f t="array" ref="AK135">IF(Tabela3[[#This Row],[Rok]]&gt;HoryzontInwestycyjny,0,-IF(CzyKredyt="Tak",WydanaGotówka2,WydanaGotówka1)+Tabela3[[#This Row],[Skumulowany wynik z najmu netto z najmu]])</f>
        <v>0</v>
      </c>
    </row>
    <row r="136" spans="3:37">
      <c r="C136" s="158">
        <v>83</v>
      </c>
      <c r="D136" s="152">
        <f t="shared" si="4"/>
        <v>0.02</v>
      </c>
      <c r="E136" s="152">
        <f t="shared" si="5"/>
        <v>0.04</v>
      </c>
      <c r="F136" s="167">
        <f t="shared" si="6"/>
        <v>150</v>
      </c>
      <c r="G136" s="151">
        <f>IF(Tabela3[[#This Row],[Rok]]&gt;HoryzontInwestycyjny,0,IF(ZmianaOdstępnego="bez zmian",G135,IF(ZmianaOdstępnego="inflacyjnie",G135*(1+Wyniki2!$D136),IF(ZmianaOdstępnego="stały %",G135*(1+Wyniki2!$E136),IF(ZmianaOdstępnego="stała kwota",G135+Wyniki2!$F136,)))))</f>
        <v>0</v>
      </c>
      <c r="H136" s="165">
        <f>IF(Tabela3[[#This Row],[Rok]]&gt;HoryzontInwestycyjny,0,MAX(0, MiesiąceNajmu - MAX(0, MAX(IFERROR(IF(MOD($C136, MałyRemont) = 0,Czas_MałyRemont, 0),0),IFERROR(IF(MOD($C136,DużyRemont) = 0,Czas_DużyRemont, 0),0)) - (12 -MiesiąceNajmu))))</f>
        <v>0</v>
      </c>
      <c r="I136" s="166">
        <f t="shared" si="8"/>
        <v>0</v>
      </c>
      <c r="J136" s="152" t="str">
        <f>IF(Tabela3[[#This Row],[Rok]]&gt;HoryzontInwestycyjny,"",IF(ZmianaKosztów="TAK",Inflacja,0))</f>
        <v/>
      </c>
      <c r="K136" s="155"/>
      <c r="L136" s="155"/>
      <c r="M136" s="155"/>
      <c r="N136" s="171" cm="1">
        <f t="array" ref="N136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36" s="171" cm="1">
        <f t="array" ref="O136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36" s="155" cm="1">
        <f t="array" ref="P136">IF(Tabela3[[#This Row],[Rok]]&gt;HoryzontInwestycyjny,0,IF(12-Tabela3[[#This Row],[Liczba wynajętych miesięcy w roku]]&gt;0, (12-Tabela3[[#This Row],[Liczba wynajętych miesięcy w roku]]) *CzynszWspólnoty* IF(ZmianaKosztów="Tak", PRODUCT(1+J$54:INDEX($J$54:J136, ROWS($D$54:D136)-1)), 1), 0))</f>
        <v>0</v>
      </c>
      <c r="Q136" s="170">
        <f>IF(Tabela3[[#This Row],[Rok]]&gt;HoryzontInwestycyjny,0,SUMIF(Kredyt!$E:$E,Tabela3[[#This Row],[Rok]],Kredyt!$I:$I))</f>
        <v>0</v>
      </c>
      <c r="R136" s="171">
        <f>IF(Tabela3[[#This Row],[Rok]]&gt;HoryzontInwestycyjny,0,SUMIF(Kredyt!$E:$E,Tabela3[[#This Row],[Rok]],Kredyt!$J:$J))</f>
        <v>0</v>
      </c>
      <c r="S136" s="155">
        <f>Tabela3[[#This Row],[Rata kredytu: odsetki]]+Tabela3[[#This Row],[Rata kredytu: kapitał]]</f>
        <v>0</v>
      </c>
      <c r="T136" s="169" cm="1">
        <f t="array" ref="T136">IF(Tabela3[[#This Row],[Rok]]&gt;HoryzontInwestycyjny,0,IFERROR(INDEX(Kredyt!$M:$M,11+Tabela3[[#This Row],[Rok]]*12) * UbezŻyć,""))</f>
        <v>0</v>
      </c>
      <c r="U136" s="155" cm="1">
        <f t="array" ref="U136">IF(Tabela3[[#This Row],[Rok]]&gt;HoryzontInwestycyjny,0,IF(CzasKredytu&gt;=Tabela3[[#This Row],[Rok]],IF(ZmianaKosztów="Tak",UbezMiesz* PRODUCT(1+J136:J136), UbezMiesz),""))</f>
        <v>0</v>
      </c>
      <c r="V136" s="155" cm="1">
        <f t="array" ref="V136">IF(Tabela3[[#This Row],[Rok]]&gt;HoryzontInwestycyjny,0,IF(ZmianaKosztów="Tak", PodatekOdNieruchomości * PRODUCT(1+J$54:J135), PodNie))</f>
        <v>0</v>
      </c>
      <c r="W136" s="155">
        <f>KosztyZarządzania*Tabela3[[#This Row],[Przychody z wynajmu]]</f>
        <v>0</v>
      </c>
      <c r="X136" s="155" cm="1">
        <f t="array" ref="X136">IF(Tabela3[[#This Row],[Rok]]&gt;HoryzontInwestycyjny,0,IF(ZmianaKosztów="Tak", InneKosztyRocznie* PRODUCT(1+J$55:J136), InneKosztyRocznie))</f>
        <v>0</v>
      </c>
      <c r="Y136" s="155">
        <f>SUM(Tabela3[[#This Row],[Cena mieszkania + remont początkowy]:[Inne koszty]])-Tabela3[[#This Row],[Rata kredytu]]</f>
        <v>0</v>
      </c>
      <c r="Z136" s="155">
        <f>IF(Tabela3[[#This Row],[Przychody z wynajmu]]&lt;=100000, Tabela3[[#This Row],[Przychody z wynajmu]]*MałyPodatek, 100000*MałyPodatek + (Tabela3[[#This Row],[Przychody z wynajmu]]-100000)*DużyPodatek)</f>
        <v>0</v>
      </c>
      <c r="AA136" s="155">
        <f>Tabela3[[#This Row],[Wydatki związane z najmem całkowite]]+Tabela3[[#This Row],[Podatek od przychodu]]</f>
        <v>0</v>
      </c>
      <c r="AB136" s="155">
        <f>IF(Tabela3[[#This Row],[Rok]]&gt;HoryzontInwestycyjny,0,Tabela3[[#This Row],[Przychody z wynajmu]]-Tabela3[[#This Row],[Wydatki związane z najmem całkowite]]-Tabela3[[#This Row],[Podatek od przychodu]])</f>
        <v>0</v>
      </c>
      <c r="AC136" s="155">
        <f>IF(Tabela3[[#This Row],[Rok]]&gt;HoryzontInwestycyjny,0,AC135+Tabela3[[#This Row],[Wynik z najmu netto rocznie]])</f>
        <v>0</v>
      </c>
      <c r="AD136" s="176" t="str">
        <f>IF(Tabela3[[#This Row],[Rok]]&gt;HoryzontInwestycyjny,"",IF(ZmianaWartościNieruchomości="Inflacyjnie",Inflacja,0))</f>
        <v/>
      </c>
      <c r="AE136" s="177" t="str">
        <f>IF(Tabela3[[#This Row],[Rok]]&gt;HoryzontInwestycyjny,"",StałyProcentZmianyWartościNieruchomości)</f>
        <v/>
      </c>
      <c r="AF136" s="178" t="str">
        <f>IF(Tabela3[[#This Row],[Rok]]&gt;HoryzontInwestycyjny,"",StałaKwotaZmianyWartościNieruchomości)</f>
        <v/>
      </c>
      <c r="AG136" s="155">
        <f>IF(Tabela3[[#This Row],[Rok]]&gt;HoryzontInwestycyjny,0,IF(ZmianaWartościNieruchomości="bez zmian",AG135,IF(ZmianaWartościNieruchomości="inflacyjnie",AG135*(1+Tabela3[[#This Row],[Inflacja3]]),IF(ZmianaWartościNieruchomości="stały %",AG135*(1+Tabela3[[#This Row],[Stały % zmiany warrtości]]),IF(ZmianaWartościNieruchomości="stała kwota",AG135+AF136,AG135)))))</f>
        <v>0</v>
      </c>
      <c r="AH136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36" s="177" cm="1">
        <f t="array" ref="AI136">Tabela3[[#This Row],[Wynik z najmu netto rocznie]]/IF(CzyKredyt="Tak",WydanaGotówka2,WydanaGotówka1)</f>
        <v>0</v>
      </c>
      <c r="AJ136" s="177" cm="1">
        <f t="array" ref="AJ136">Tabela3[[#This Row],[Wynik z najmu netto rocznie]]/IF(CzyKredyt="Tak",SumaKosztówPoczątkowychInwestycji,SumaKosztów)</f>
        <v>0</v>
      </c>
      <c r="AK136" s="155" cm="1">
        <f t="array" ref="AK136">IF(Tabela3[[#This Row],[Rok]]&gt;HoryzontInwestycyjny,0,-IF(CzyKredyt="Tak",WydanaGotówka2,WydanaGotówka1)+Tabela3[[#This Row],[Skumulowany wynik z najmu netto z najmu]])</f>
        <v>0</v>
      </c>
    </row>
    <row r="137" spans="3:37">
      <c r="C137" s="168">
        <v>84</v>
      </c>
      <c r="D137" s="152">
        <f t="shared" si="4"/>
        <v>0.02</v>
      </c>
      <c r="E137" s="152">
        <f t="shared" si="5"/>
        <v>0.04</v>
      </c>
      <c r="F137" s="167">
        <f t="shared" si="6"/>
        <v>150</v>
      </c>
      <c r="G137" s="151">
        <f>IF(Tabela3[[#This Row],[Rok]]&gt;HoryzontInwestycyjny,0,IF(ZmianaOdstępnego="bez zmian",G136,IF(ZmianaOdstępnego="inflacyjnie",G136*(1+Wyniki2!$D137),IF(ZmianaOdstępnego="stały %",G136*(1+Wyniki2!$E137),IF(ZmianaOdstępnego="stała kwota",G136+Wyniki2!$F137,)))))</f>
        <v>0</v>
      </c>
      <c r="H137" s="165">
        <f>IF(Tabela3[[#This Row],[Rok]]&gt;HoryzontInwestycyjny,0,MAX(0, MiesiąceNajmu - MAX(0, MAX(IFERROR(IF(MOD($C137, MałyRemont) = 0,Czas_MałyRemont, 0),0),IFERROR(IF(MOD($C137,DużyRemont) = 0,Czas_DużyRemont, 0),0)) - (12 -MiesiąceNajmu))))</f>
        <v>0</v>
      </c>
      <c r="I137" s="166">
        <f t="shared" si="8"/>
        <v>0</v>
      </c>
      <c r="J137" s="152" t="str">
        <f>IF(Tabela3[[#This Row],[Rok]]&gt;HoryzontInwestycyjny,"",IF(ZmianaKosztów="TAK",Inflacja,0))</f>
        <v/>
      </c>
      <c r="K137" s="172"/>
      <c r="L137" s="172"/>
      <c r="M137" s="172"/>
      <c r="N137" s="171" cm="1">
        <f t="array" ref="N137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37" s="171" cm="1">
        <f t="array" ref="O137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37" s="155" cm="1">
        <f t="array" ref="P137">IF(Tabela3[[#This Row],[Rok]]&gt;HoryzontInwestycyjny,0,IF(12-Tabela3[[#This Row],[Liczba wynajętych miesięcy w roku]]&gt;0, (12-Tabela3[[#This Row],[Liczba wynajętych miesięcy w roku]]) *CzynszWspólnoty* IF(ZmianaKosztów="Tak", PRODUCT(1+J$54:INDEX($J$54:J137, ROWS($D$54:D137)-1)), 1), 0))</f>
        <v>0</v>
      </c>
      <c r="Q137" s="170">
        <f>IF(Tabela3[[#This Row],[Rok]]&gt;HoryzontInwestycyjny,0,SUMIF(Kredyt!$E:$E,Tabela3[[#This Row],[Rok]],Kredyt!$I:$I))</f>
        <v>0</v>
      </c>
      <c r="R137" s="171">
        <f>IF(Tabela3[[#This Row],[Rok]]&gt;HoryzontInwestycyjny,0,SUMIF(Kredyt!$E:$E,Tabela3[[#This Row],[Rok]],Kredyt!$J:$J))</f>
        <v>0</v>
      </c>
      <c r="S137" s="172">
        <f>Tabela3[[#This Row],[Rata kredytu: odsetki]]+Tabela3[[#This Row],[Rata kredytu: kapitał]]</f>
        <v>0</v>
      </c>
      <c r="T137" s="169" cm="1">
        <f t="array" ref="T137">IF(Tabela3[[#This Row],[Rok]]&gt;HoryzontInwestycyjny,0,IFERROR(INDEX(Kredyt!$M:$M,11+Tabela3[[#This Row],[Rok]]*12) * UbezŻyć,""))</f>
        <v>0</v>
      </c>
      <c r="U137" s="155" cm="1">
        <f t="array" ref="U137">IF(Tabela3[[#This Row],[Rok]]&gt;HoryzontInwestycyjny,0,IF(CzasKredytu&gt;=Tabela3[[#This Row],[Rok]],IF(ZmianaKosztów="Tak",UbezMiesz* PRODUCT(1+J137:J137), UbezMiesz),""))</f>
        <v>0</v>
      </c>
      <c r="V137" s="155" cm="1">
        <f t="array" ref="V137">IF(Tabela3[[#This Row],[Rok]]&gt;HoryzontInwestycyjny,0,IF(ZmianaKosztów="Tak", PodatekOdNieruchomości * PRODUCT(1+J$54:J136), PodNie))</f>
        <v>0</v>
      </c>
      <c r="W137" s="155">
        <f>KosztyZarządzania*Tabela3[[#This Row],[Przychody z wynajmu]]</f>
        <v>0</v>
      </c>
      <c r="X137" s="155" cm="1">
        <f t="array" ref="X137">IF(Tabela3[[#This Row],[Rok]]&gt;HoryzontInwestycyjny,0,IF(ZmianaKosztów="Tak", InneKosztyRocznie* PRODUCT(1+J$55:J137), InneKosztyRocznie))</f>
        <v>0</v>
      </c>
      <c r="Y137" s="155">
        <f>SUM(Tabela3[[#This Row],[Cena mieszkania + remont początkowy]:[Inne koszty]])-Tabela3[[#This Row],[Rata kredytu]]</f>
        <v>0</v>
      </c>
      <c r="Z137" s="155">
        <f>IF(Tabela3[[#This Row],[Przychody z wynajmu]]&lt;=100000, Tabela3[[#This Row],[Przychody z wynajmu]]*MałyPodatek, 100000*MałyPodatek + (Tabela3[[#This Row],[Przychody z wynajmu]]-100000)*DużyPodatek)</f>
        <v>0</v>
      </c>
      <c r="AA137" s="155">
        <f>Tabela3[[#This Row],[Wydatki związane z najmem całkowite]]+Tabela3[[#This Row],[Podatek od przychodu]]</f>
        <v>0</v>
      </c>
      <c r="AB137" s="155">
        <f>IF(Tabela3[[#This Row],[Rok]]&gt;HoryzontInwestycyjny,0,Tabela3[[#This Row],[Przychody z wynajmu]]-Tabela3[[#This Row],[Wydatki związane z najmem całkowite]]-Tabela3[[#This Row],[Podatek od przychodu]])</f>
        <v>0</v>
      </c>
      <c r="AC137" s="155">
        <f>IF(Tabela3[[#This Row],[Rok]]&gt;HoryzontInwestycyjny,0,AC136+Tabela3[[#This Row],[Wynik z najmu netto rocznie]])</f>
        <v>0</v>
      </c>
      <c r="AD137" s="176" t="str">
        <f>IF(Tabela3[[#This Row],[Rok]]&gt;HoryzontInwestycyjny,"",IF(ZmianaWartościNieruchomości="Inflacyjnie",Inflacja,0))</f>
        <v/>
      </c>
      <c r="AE137" s="177" t="str">
        <f>IF(Tabela3[[#This Row],[Rok]]&gt;HoryzontInwestycyjny,"",StałyProcentZmianyWartościNieruchomości)</f>
        <v/>
      </c>
      <c r="AF137" s="178" t="str">
        <f>IF(Tabela3[[#This Row],[Rok]]&gt;HoryzontInwestycyjny,"",StałaKwotaZmianyWartościNieruchomości)</f>
        <v/>
      </c>
      <c r="AG137" s="155">
        <f>IF(Tabela3[[#This Row],[Rok]]&gt;HoryzontInwestycyjny,0,IF(ZmianaWartościNieruchomości="bez zmian",AG136,IF(ZmianaWartościNieruchomości="inflacyjnie",AG136*(1+Tabela3[[#This Row],[Inflacja3]]),IF(ZmianaWartościNieruchomości="stały %",AG136*(1+Tabela3[[#This Row],[Stały % zmiany warrtości]]),IF(ZmianaWartościNieruchomości="stała kwota",AG136+AF137,AG136)))))</f>
        <v>0</v>
      </c>
      <c r="AH137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37" s="177" cm="1">
        <f t="array" ref="AI137">Tabela3[[#This Row],[Wynik z najmu netto rocznie]]/IF(CzyKredyt="Tak",WydanaGotówka2,WydanaGotówka1)</f>
        <v>0</v>
      </c>
      <c r="AJ137" s="177" cm="1">
        <f t="array" ref="AJ137">Tabela3[[#This Row],[Wynik z najmu netto rocznie]]/IF(CzyKredyt="Tak",SumaKosztówPoczątkowychInwestycji,SumaKosztów)</f>
        <v>0</v>
      </c>
      <c r="AK137" s="155" cm="1">
        <f t="array" ref="AK137">IF(Tabela3[[#This Row],[Rok]]&gt;HoryzontInwestycyjny,0,-IF(CzyKredyt="Tak",WydanaGotówka2,WydanaGotówka1)+Tabela3[[#This Row],[Skumulowany wynik z najmu netto z najmu]])</f>
        <v>0</v>
      </c>
    </row>
    <row r="138" spans="3:37">
      <c r="C138" s="158">
        <v>85</v>
      </c>
      <c r="D138" s="152">
        <f t="shared" si="4"/>
        <v>0.02</v>
      </c>
      <c r="E138" s="152">
        <f t="shared" si="5"/>
        <v>0.04</v>
      </c>
      <c r="F138" s="167">
        <f t="shared" si="6"/>
        <v>150</v>
      </c>
      <c r="G138" s="151">
        <f>IF(Tabela3[[#This Row],[Rok]]&gt;HoryzontInwestycyjny,0,IF(ZmianaOdstępnego="bez zmian",G137,IF(ZmianaOdstępnego="inflacyjnie",G137*(1+Wyniki2!$D138),IF(ZmianaOdstępnego="stały %",G137*(1+Wyniki2!$E138),IF(ZmianaOdstępnego="stała kwota",G137+Wyniki2!$F138,)))))</f>
        <v>0</v>
      </c>
      <c r="H138" s="165">
        <f>IF(Tabela3[[#This Row],[Rok]]&gt;HoryzontInwestycyjny,0,MAX(0, MiesiąceNajmu - MAX(0, MAX(IFERROR(IF(MOD($C138, MałyRemont) = 0,Czas_MałyRemont, 0),0),IFERROR(IF(MOD($C138,DużyRemont) = 0,Czas_DużyRemont, 0),0)) - (12 -MiesiąceNajmu))))</f>
        <v>0</v>
      </c>
      <c r="I138" s="166">
        <f t="shared" si="8"/>
        <v>0</v>
      </c>
      <c r="J138" s="152" t="str">
        <f>IF(Tabela3[[#This Row],[Rok]]&gt;HoryzontInwestycyjny,"",IF(ZmianaKosztów="TAK",Inflacja,0))</f>
        <v/>
      </c>
      <c r="K138" s="155"/>
      <c r="L138" s="155"/>
      <c r="M138" s="155"/>
      <c r="N138" s="171" cm="1">
        <f t="array" ref="N138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38" s="171" cm="1">
        <f t="array" ref="O138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38" s="155" cm="1">
        <f t="array" ref="P138">IF(Tabela3[[#This Row],[Rok]]&gt;HoryzontInwestycyjny,0,IF(12-Tabela3[[#This Row],[Liczba wynajętych miesięcy w roku]]&gt;0, (12-Tabela3[[#This Row],[Liczba wynajętych miesięcy w roku]]) *CzynszWspólnoty* IF(ZmianaKosztów="Tak", PRODUCT(1+J$54:INDEX($J$54:J138, ROWS($D$54:D138)-1)), 1), 0))</f>
        <v>0</v>
      </c>
      <c r="Q138" s="170">
        <f>IF(Tabela3[[#This Row],[Rok]]&gt;HoryzontInwestycyjny,0,SUMIF(Kredyt!$E:$E,Tabela3[[#This Row],[Rok]],Kredyt!$I:$I))</f>
        <v>0</v>
      </c>
      <c r="R138" s="171">
        <f>IF(Tabela3[[#This Row],[Rok]]&gt;HoryzontInwestycyjny,0,SUMIF(Kredyt!$E:$E,Tabela3[[#This Row],[Rok]],Kredyt!$J:$J))</f>
        <v>0</v>
      </c>
      <c r="S138" s="155">
        <f>Tabela3[[#This Row],[Rata kredytu: odsetki]]+Tabela3[[#This Row],[Rata kredytu: kapitał]]</f>
        <v>0</v>
      </c>
      <c r="T138" s="169" cm="1">
        <f t="array" ref="T138">IF(Tabela3[[#This Row],[Rok]]&gt;HoryzontInwestycyjny,0,IFERROR(INDEX(Kredyt!$M:$M,11+Tabela3[[#This Row],[Rok]]*12) * UbezŻyć,""))</f>
        <v>0</v>
      </c>
      <c r="U138" s="155" cm="1">
        <f t="array" ref="U138">IF(Tabela3[[#This Row],[Rok]]&gt;HoryzontInwestycyjny,0,IF(CzasKredytu&gt;=Tabela3[[#This Row],[Rok]],IF(ZmianaKosztów="Tak",UbezMiesz* PRODUCT(1+J138:J138), UbezMiesz),""))</f>
        <v>0</v>
      </c>
      <c r="V138" s="155" cm="1">
        <f t="array" ref="V138">IF(Tabela3[[#This Row],[Rok]]&gt;HoryzontInwestycyjny,0,IF(ZmianaKosztów="Tak", PodatekOdNieruchomości * PRODUCT(1+J$54:J137), PodNie))</f>
        <v>0</v>
      </c>
      <c r="W138" s="155">
        <f>KosztyZarządzania*Tabela3[[#This Row],[Przychody z wynajmu]]</f>
        <v>0</v>
      </c>
      <c r="X138" s="155" cm="1">
        <f t="array" ref="X138">IF(Tabela3[[#This Row],[Rok]]&gt;HoryzontInwestycyjny,0,IF(ZmianaKosztów="Tak", InneKosztyRocznie* PRODUCT(1+J$55:J138), InneKosztyRocznie))</f>
        <v>0</v>
      </c>
      <c r="Y138" s="155">
        <f>SUM(Tabela3[[#This Row],[Cena mieszkania + remont początkowy]:[Inne koszty]])-Tabela3[[#This Row],[Rata kredytu]]</f>
        <v>0</v>
      </c>
      <c r="Z138" s="155">
        <f>IF(Tabela3[[#This Row],[Przychody z wynajmu]]&lt;=100000, Tabela3[[#This Row],[Przychody z wynajmu]]*MałyPodatek, 100000*MałyPodatek + (Tabela3[[#This Row],[Przychody z wynajmu]]-100000)*DużyPodatek)</f>
        <v>0</v>
      </c>
      <c r="AA138" s="155">
        <f>Tabela3[[#This Row],[Wydatki związane z najmem całkowite]]+Tabela3[[#This Row],[Podatek od przychodu]]</f>
        <v>0</v>
      </c>
      <c r="AB138" s="155">
        <f>IF(Tabela3[[#This Row],[Rok]]&gt;HoryzontInwestycyjny,0,Tabela3[[#This Row],[Przychody z wynajmu]]-Tabela3[[#This Row],[Wydatki związane z najmem całkowite]]-Tabela3[[#This Row],[Podatek od przychodu]])</f>
        <v>0</v>
      </c>
      <c r="AC138" s="155">
        <f>IF(Tabela3[[#This Row],[Rok]]&gt;HoryzontInwestycyjny,0,AC137+Tabela3[[#This Row],[Wynik z najmu netto rocznie]])</f>
        <v>0</v>
      </c>
      <c r="AD138" s="176" t="str">
        <f>IF(Tabela3[[#This Row],[Rok]]&gt;HoryzontInwestycyjny,"",IF(ZmianaWartościNieruchomości="Inflacyjnie",Inflacja,0))</f>
        <v/>
      </c>
      <c r="AE138" s="177" t="str">
        <f>IF(Tabela3[[#This Row],[Rok]]&gt;HoryzontInwestycyjny,"",StałyProcentZmianyWartościNieruchomości)</f>
        <v/>
      </c>
      <c r="AF138" s="178" t="str">
        <f>IF(Tabela3[[#This Row],[Rok]]&gt;HoryzontInwestycyjny,"",StałaKwotaZmianyWartościNieruchomości)</f>
        <v/>
      </c>
      <c r="AG138" s="155">
        <f>IF(Tabela3[[#This Row],[Rok]]&gt;HoryzontInwestycyjny,0,IF(ZmianaWartościNieruchomości="bez zmian",AG137,IF(ZmianaWartościNieruchomości="inflacyjnie",AG137*(1+Tabela3[[#This Row],[Inflacja3]]),IF(ZmianaWartościNieruchomości="stały %",AG137*(1+Tabela3[[#This Row],[Stały % zmiany warrtości]]),IF(ZmianaWartościNieruchomości="stała kwota",AG137+AF138,AG137)))))</f>
        <v>0</v>
      </c>
      <c r="AH138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38" s="177" cm="1">
        <f t="array" ref="AI138">Tabela3[[#This Row],[Wynik z najmu netto rocznie]]/IF(CzyKredyt="Tak",WydanaGotówka2,WydanaGotówka1)</f>
        <v>0</v>
      </c>
      <c r="AJ138" s="177" cm="1">
        <f t="array" ref="AJ138">Tabela3[[#This Row],[Wynik z najmu netto rocznie]]/IF(CzyKredyt="Tak",SumaKosztówPoczątkowychInwestycji,SumaKosztów)</f>
        <v>0</v>
      </c>
      <c r="AK138" s="155" cm="1">
        <f t="array" ref="AK138">IF(Tabela3[[#This Row],[Rok]]&gt;HoryzontInwestycyjny,0,-IF(CzyKredyt="Tak",WydanaGotówka2,WydanaGotówka1)+Tabela3[[#This Row],[Skumulowany wynik z najmu netto z najmu]])</f>
        <v>0</v>
      </c>
    </row>
    <row r="139" spans="3:37">
      <c r="C139" s="168">
        <v>86</v>
      </c>
      <c r="D139" s="152">
        <f t="shared" si="4"/>
        <v>0.02</v>
      </c>
      <c r="E139" s="152">
        <f t="shared" si="5"/>
        <v>0.04</v>
      </c>
      <c r="F139" s="167">
        <f t="shared" si="6"/>
        <v>150</v>
      </c>
      <c r="G139" s="151">
        <f>IF(Tabela3[[#This Row],[Rok]]&gt;HoryzontInwestycyjny,0,IF(ZmianaOdstępnego="bez zmian",G138,IF(ZmianaOdstępnego="inflacyjnie",G138*(1+Wyniki2!$D139),IF(ZmianaOdstępnego="stały %",G138*(1+Wyniki2!$E139),IF(ZmianaOdstępnego="stała kwota",G138+Wyniki2!$F139,)))))</f>
        <v>0</v>
      </c>
      <c r="H139" s="165">
        <f>IF(Tabela3[[#This Row],[Rok]]&gt;HoryzontInwestycyjny,0,MAX(0, MiesiąceNajmu - MAX(0, MAX(IFERROR(IF(MOD($C139, MałyRemont) = 0,Czas_MałyRemont, 0),0),IFERROR(IF(MOD($C139,DużyRemont) = 0,Czas_DużyRemont, 0),0)) - (12 -MiesiąceNajmu))))</f>
        <v>0</v>
      </c>
      <c r="I139" s="166">
        <f t="shared" si="8"/>
        <v>0</v>
      </c>
      <c r="J139" s="152" t="str">
        <f>IF(Tabela3[[#This Row],[Rok]]&gt;HoryzontInwestycyjny,"",IF(ZmianaKosztów="TAK",Inflacja,0))</f>
        <v/>
      </c>
      <c r="K139" s="172"/>
      <c r="L139" s="172"/>
      <c r="M139" s="172"/>
      <c r="N139" s="171" cm="1">
        <f t="array" ref="N139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39" s="171" cm="1">
        <f t="array" ref="O139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39" s="155" cm="1">
        <f t="array" ref="P139">IF(Tabela3[[#This Row],[Rok]]&gt;HoryzontInwestycyjny,0,IF(12-Tabela3[[#This Row],[Liczba wynajętych miesięcy w roku]]&gt;0, (12-Tabela3[[#This Row],[Liczba wynajętych miesięcy w roku]]) *CzynszWspólnoty* IF(ZmianaKosztów="Tak", PRODUCT(1+J$54:INDEX($J$54:J139, ROWS($D$54:D139)-1)), 1), 0))</f>
        <v>0</v>
      </c>
      <c r="Q139" s="170">
        <f>IF(Tabela3[[#This Row],[Rok]]&gt;HoryzontInwestycyjny,0,SUMIF(Kredyt!$E:$E,Tabela3[[#This Row],[Rok]],Kredyt!$I:$I))</f>
        <v>0</v>
      </c>
      <c r="R139" s="171">
        <f>IF(Tabela3[[#This Row],[Rok]]&gt;HoryzontInwestycyjny,0,SUMIF(Kredyt!$E:$E,Tabela3[[#This Row],[Rok]],Kredyt!$J:$J))</f>
        <v>0</v>
      </c>
      <c r="S139" s="172">
        <f>Tabela3[[#This Row],[Rata kredytu: odsetki]]+Tabela3[[#This Row],[Rata kredytu: kapitał]]</f>
        <v>0</v>
      </c>
      <c r="T139" s="169" cm="1">
        <f t="array" ref="T139">IF(Tabela3[[#This Row],[Rok]]&gt;HoryzontInwestycyjny,0,IFERROR(INDEX(Kredyt!$M:$M,11+Tabela3[[#This Row],[Rok]]*12) * UbezŻyć,""))</f>
        <v>0</v>
      </c>
      <c r="U139" s="155" cm="1">
        <f t="array" ref="U139">IF(Tabela3[[#This Row],[Rok]]&gt;HoryzontInwestycyjny,0,IF(CzasKredytu&gt;=Tabela3[[#This Row],[Rok]],IF(ZmianaKosztów="Tak",UbezMiesz* PRODUCT(1+J139:J139), UbezMiesz),""))</f>
        <v>0</v>
      </c>
      <c r="V139" s="155" cm="1">
        <f t="array" ref="V139">IF(Tabela3[[#This Row],[Rok]]&gt;HoryzontInwestycyjny,0,IF(ZmianaKosztów="Tak", PodatekOdNieruchomości * PRODUCT(1+J$54:J138), PodNie))</f>
        <v>0</v>
      </c>
      <c r="W139" s="155">
        <f>KosztyZarządzania*Tabela3[[#This Row],[Przychody z wynajmu]]</f>
        <v>0</v>
      </c>
      <c r="X139" s="155" cm="1">
        <f t="array" ref="X139">IF(Tabela3[[#This Row],[Rok]]&gt;HoryzontInwestycyjny,0,IF(ZmianaKosztów="Tak", InneKosztyRocznie* PRODUCT(1+J$55:J139), InneKosztyRocznie))</f>
        <v>0</v>
      </c>
      <c r="Y139" s="155">
        <f>SUM(Tabela3[[#This Row],[Cena mieszkania + remont początkowy]:[Inne koszty]])-Tabela3[[#This Row],[Rata kredytu]]</f>
        <v>0</v>
      </c>
      <c r="Z139" s="155">
        <f>IF(Tabela3[[#This Row],[Przychody z wynajmu]]&lt;=100000, Tabela3[[#This Row],[Przychody z wynajmu]]*MałyPodatek, 100000*MałyPodatek + (Tabela3[[#This Row],[Przychody z wynajmu]]-100000)*DużyPodatek)</f>
        <v>0</v>
      </c>
      <c r="AA139" s="155">
        <f>Tabela3[[#This Row],[Wydatki związane z najmem całkowite]]+Tabela3[[#This Row],[Podatek od przychodu]]</f>
        <v>0</v>
      </c>
      <c r="AB139" s="155">
        <f>IF(Tabela3[[#This Row],[Rok]]&gt;HoryzontInwestycyjny,0,Tabela3[[#This Row],[Przychody z wynajmu]]-Tabela3[[#This Row],[Wydatki związane z najmem całkowite]]-Tabela3[[#This Row],[Podatek od przychodu]])</f>
        <v>0</v>
      </c>
      <c r="AC139" s="155">
        <f>IF(Tabela3[[#This Row],[Rok]]&gt;HoryzontInwestycyjny,0,AC138+Tabela3[[#This Row],[Wynik z najmu netto rocznie]])</f>
        <v>0</v>
      </c>
      <c r="AD139" s="176" t="str">
        <f>IF(Tabela3[[#This Row],[Rok]]&gt;HoryzontInwestycyjny,"",IF(ZmianaWartościNieruchomości="Inflacyjnie",Inflacja,0))</f>
        <v/>
      </c>
      <c r="AE139" s="177" t="str">
        <f>IF(Tabela3[[#This Row],[Rok]]&gt;HoryzontInwestycyjny,"",StałyProcentZmianyWartościNieruchomości)</f>
        <v/>
      </c>
      <c r="AF139" s="178" t="str">
        <f>IF(Tabela3[[#This Row],[Rok]]&gt;HoryzontInwestycyjny,"",StałaKwotaZmianyWartościNieruchomości)</f>
        <v/>
      </c>
      <c r="AG139" s="155">
        <f>IF(Tabela3[[#This Row],[Rok]]&gt;HoryzontInwestycyjny,0,IF(ZmianaWartościNieruchomości="bez zmian",AG138,IF(ZmianaWartościNieruchomości="inflacyjnie",AG138*(1+Tabela3[[#This Row],[Inflacja3]]),IF(ZmianaWartościNieruchomości="stały %",AG138*(1+Tabela3[[#This Row],[Stały % zmiany warrtości]]),IF(ZmianaWartościNieruchomości="stała kwota",AG138+AF139,AG138)))))</f>
        <v>0</v>
      </c>
      <c r="AH139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39" s="177" cm="1">
        <f t="array" ref="AI139">Tabela3[[#This Row],[Wynik z najmu netto rocznie]]/IF(CzyKredyt="Tak",WydanaGotówka2,WydanaGotówka1)</f>
        <v>0</v>
      </c>
      <c r="AJ139" s="177" cm="1">
        <f t="array" ref="AJ139">Tabela3[[#This Row],[Wynik z najmu netto rocznie]]/IF(CzyKredyt="Tak",SumaKosztówPoczątkowychInwestycji,SumaKosztów)</f>
        <v>0</v>
      </c>
      <c r="AK139" s="155" cm="1">
        <f t="array" ref="AK139">IF(Tabela3[[#This Row],[Rok]]&gt;HoryzontInwestycyjny,0,-IF(CzyKredyt="Tak",WydanaGotówka2,WydanaGotówka1)+Tabela3[[#This Row],[Skumulowany wynik z najmu netto z najmu]])</f>
        <v>0</v>
      </c>
    </row>
    <row r="140" spans="3:37">
      <c r="C140" s="158">
        <v>87</v>
      </c>
      <c r="D140" s="152">
        <f t="shared" si="4"/>
        <v>0.02</v>
      </c>
      <c r="E140" s="152">
        <f t="shared" si="5"/>
        <v>0.04</v>
      </c>
      <c r="F140" s="167">
        <f t="shared" si="6"/>
        <v>150</v>
      </c>
      <c r="G140" s="151">
        <f>IF(Tabela3[[#This Row],[Rok]]&gt;HoryzontInwestycyjny,0,IF(ZmianaOdstępnego="bez zmian",G139,IF(ZmianaOdstępnego="inflacyjnie",G139*(1+Wyniki2!$D140),IF(ZmianaOdstępnego="stały %",G139*(1+Wyniki2!$E140),IF(ZmianaOdstępnego="stała kwota",G139+Wyniki2!$F140,)))))</f>
        <v>0</v>
      </c>
      <c r="H140" s="165">
        <f>IF(Tabela3[[#This Row],[Rok]]&gt;HoryzontInwestycyjny,0,MAX(0, MiesiąceNajmu - MAX(0, MAX(IFERROR(IF(MOD($C140, MałyRemont) = 0,Czas_MałyRemont, 0),0),IFERROR(IF(MOD($C140,DużyRemont) = 0,Czas_DużyRemont, 0),0)) - (12 -MiesiąceNajmu))))</f>
        <v>0</v>
      </c>
      <c r="I140" s="166">
        <f t="shared" si="8"/>
        <v>0</v>
      </c>
      <c r="J140" s="152" t="str">
        <f>IF(Tabela3[[#This Row],[Rok]]&gt;HoryzontInwestycyjny,"",IF(ZmianaKosztów="TAK",Inflacja,0))</f>
        <v/>
      </c>
      <c r="K140" s="155"/>
      <c r="L140" s="155"/>
      <c r="M140" s="155"/>
      <c r="N140" s="171" cm="1">
        <f t="array" ref="N140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40" s="171" cm="1">
        <f t="array" ref="O140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40" s="155" cm="1">
        <f t="array" ref="P140">IF(Tabela3[[#This Row],[Rok]]&gt;HoryzontInwestycyjny,0,IF(12-Tabela3[[#This Row],[Liczba wynajętych miesięcy w roku]]&gt;0, (12-Tabela3[[#This Row],[Liczba wynajętych miesięcy w roku]]) *CzynszWspólnoty* IF(ZmianaKosztów="Tak", PRODUCT(1+J$54:INDEX($J$54:J140, ROWS($D$54:D140)-1)), 1), 0))</f>
        <v>0</v>
      </c>
      <c r="Q140" s="170">
        <f>IF(Tabela3[[#This Row],[Rok]]&gt;HoryzontInwestycyjny,0,SUMIF(Kredyt!$E:$E,Tabela3[[#This Row],[Rok]],Kredyt!$I:$I))</f>
        <v>0</v>
      </c>
      <c r="R140" s="171">
        <f>IF(Tabela3[[#This Row],[Rok]]&gt;HoryzontInwestycyjny,0,SUMIF(Kredyt!$E:$E,Tabela3[[#This Row],[Rok]],Kredyt!$J:$J))</f>
        <v>0</v>
      </c>
      <c r="S140" s="155">
        <f>Tabela3[[#This Row],[Rata kredytu: odsetki]]+Tabela3[[#This Row],[Rata kredytu: kapitał]]</f>
        <v>0</v>
      </c>
      <c r="T140" s="169" cm="1">
        <f t="array" ref="T140">IF(Tabela3[[#This Row],[Rok]]&gt;HoryzontInwestycyjny,0,IFERROR(INDEX(Kredyt!$M:$M,11+Tabela3[[#This Row],[Rok]]*12) * UbezŻyć,""))</f>
        <v>0</v>
      </c>
      <c r="U140" s="155" cm="1">
        <f t="array" ref="U140">IF(Tabela3[[#This Row],[Rok]]&gt;HoryzontInwestycyjny,0,IF(CzasKredytu&gt;=Tabela3[[#This Row],[Rok]],IF(ZmianaKosztów="Tak",UbezMiesz* PRODUCT(1+J140:J140), UbezMiesz),""))</f>
        <v>0</v>
      </c>
      <c r="V140" s="155" cm="1">
        <f t="array" ref="V140">IF(Tabela3[[#This Row],[Rok]]&gt;HoryzontInwestycyjny,0,IF(ZmianaKosztów="Tak", PodatekOdNieruchomości * PRODUCT(1+J$54:J139), PodNie))</f>
        <v>0</v>
      </c>
      <c r="W140" s="155">
        <f>KosztyZarządzania*Tabela3[[#This Row],[Przychody z wynajmu]]</f>
        <v>0</v>
      </c>
      <c r="X140" s="155" cm="1">
        <f t="array" ref="X140">IF(Tabela3[[#This Row],[Rok]]&gt;HoryzontInwestycyjny,0,IF(ZmianaKosztów="Tak", InneKosztyRocznie* PRODUCT(1+J$55:J140), InneKosztyRocznie))</f>
        <v>0</v>
      </c>
      <c r="Y140" s="155">
        <f>SUM(Tabela3[[#This Row],[Cena mieszkania + remont początkowy]:[Inne koszty]])-Tabela3[[#This Row],[Rata kredytu]]</f>
        <v>0</v>
      </c>
      <c r="Z140" s="155">
        <f>IF(Tabela3[[#This Row],[Przychody z wynajmu]]&lt;=100000, Tabela3[[#This Row],[Przychody z wynajmu]]*MałyPodatek, 100000*MałyPodatek + (Tabela3[[#This Row],[Przychody z wynajmu]]-100000)*DużyPodatek)</f>
        <v>0</v>
      </c>
      <c r="AA140" s="155">
        <f>Tabela3[[#This Row],[Wydatki związane z najmem całkowite]]+Tabela3[[#This Row],[Podatek od przychodu]]</f>
        <v>0</v>
      </c>
      <c r="AB140" s="155">
        <f>IF(Tabela3[[#This Row],[Rok]]&gt;HoryzontInwestycyjny,0,Tabela3[[#This Row],[Przychody z wynajmu]]-Tabela3[[#This Row],[Wydatki związane z najmem całkowite]]-Tabela3[[#This Row],[Podatek od przychodu]])</f>
        <v>0</v>
      </c>
      <c r="AC140" s="155">
        <f>IF(Tabela3[[#This Row],[Rok]]&gt;HoryzontInwestycyjny,0,AC139+Tabela3[[#This Row],[Wynik z najmu netto rocznie]])</f>
        <v>0</v>
      </c>
      <c r="AD140" s="176" t="str">
        <f>IF(Tabela3[[#This Row],[Rok]]&gt;HoryzontInwestycyjny,"",IF(ZmianaWartościNieruchomości="Inflacyjnie",Inflacja,0))</f>
        <v/>
      </c>
      <c r="AE140" s="177" t="str">
        <f>IF(Tabela3[[#This Row],[Rok]]&gt;HoryzontInwestycyjny,"",StałyProcentZmianyWartościNieruchomości)</f>
        <v/>
      </c>
      <c r="AF140" s="178" t="str">
        <f>IF(Tabela3[[#This Row],[Rok]]&gt;HoryzontInwestycyjny,"",StałaKwotaZmianyWartościNieruchomości)</f>
        <v/>
      </c>
      <c r="AG140" s="155">
        <f>IF(Tabela3[[#This Row],[Rok]]&gt;HoryzontInwestycyjny,0,IF(ZmianaWartościNieruchomości="bez zmian",AG139,IF(ZmianaWartościNieruchomości="inflacyjnie",AG139*(1+Tabela3[[#This Row],[Inflacja3]]),IF(ZmianaWartościNieruchomości="stały %",AG139*(1+Tabela3[[#This Row],[Stały % zmiany warrtości]]),IF(ZmianaWartościNieruchomości="stała kwota",AG139+AF140,AG139)))))</f>
        <v>0</v>
      </c>
      <c r="AH140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40" s="177" cm="1">
        <f t="array" ref="AI140">Tabela3[[#This Row],[Wynik z najmu netto rocznie]]/IF(CzyKredyt="Tak",WydanaGotówka2,WydanaGotówka1)</f>
        <v>0</v>
      </c>
      <c r="AJ140" s="177" cm="1">
        <f t="array" ref="AJ140">Tabela3[[#This Row],[Wynik z najmu netto rocznie]]/IF(CzyKredyt="Tak",SumaKosztówPoczątkowychInwestycji,SumaKosztów)</f>
        <v>0</v>
      </c>
      <c r="AK140" s="155" cm="1">
        <f t="array" ref="AK140">IF(Tabela3[[#This Row],[Rok]]&gt;HoryzontInwestycyjny,0,-IF(CzyKredyt="Tak",WydanaGotówka2,WydanaGotówka1)+Tabela3[[#This Row],[Skumulowany wynik z najmu netto z najmu]])</f>
        <v>0</v>
      </c>
    </row>
    <row r="141" spans="3:37">
      <c r="C141" s="168">
        <v>88</v>
      </c>
      <c r="D141" s="152">
        <f t="shared" si="4"/>
        <v>0.02</v>
      </c>
      <c r="E141" s="152">
        <f t="shared" si="5"/>
        <v>0.04</v>
      </c>
      <c r="F141" s="167">
        <f t="shared" si="6"/>
        <v>150</v>
      </c>
      <c r="G141" s="151">
        <f>IF(Tabela3[[#This Row],[Rok]]&gt;HoryzontInwestycyjny,0,IF(ZmianaOdstępnego="bez zmian",G140,IF(ZmianaOdstępnego="inflacyjnie",G140*(1+Wyniki2!$D141),IF(ZmianaOdstępnego="stały %",G140*(1+Wyniki2!$E141),IF(ZmianaOdstępnego="stała kwota",G140+Wyniki2!$F141,)))))</f>
        <v>0</v>
      </c>
      <c r="H141" s="165">
        <f>IF(Tabela3[[#This Row],[Rok]]&gt;HoryzontInwestycyjny,0,MAX(0, MiesiąceNajmu - MAX(0, MAX(IFERROR(IF(MOD($C141, MałyRemont) = 0,Czas_MałyRemont, 0),0),IFERROR(IF(MOD($C141,DużyRemont) = 0,Czas_DużyRemont, 0),0)) - (12 -MiesiąceNajmu))))</f>
        <v>0</v>
      </c>
      <c r="I141" s="166">
        <f t="shared" si="8"/>
        <v>0</v>
      </c>
      <c r="J141" s="152" t="str">
        <f>IF(Tabela3[[#This Row],[Rok]]&gt;HoryzontInwestycyjny,"",IF(ZmianaKosztów="TAK",Inflacja,0))</f>
        <v/>
      </c>
      <c r="K141" s="172"/>
      <c r="L141" s="172"/>
      <c r="M141" s="172"/>
      <c r="N141" s="171" cm="1">
        <f t="array" ref="N141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41" s="171" cm="1">
        <f t="array" ref="O141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41" s="155" cm="1">
        <f t="array" ref="P141">IF(Tabela3[[#This Row],[Rok]]&gt;HoryzontInwestycyjny,0,IF(12-Tabela3[[#This Row],[Liczba wynajętych miesięcy w roku]]&gt;0, (12-Tabela3[[#This Row],[Liczba wynajętych miesięcy w roku]]) *CzynszWspólnoty* IF(ZmianaKosztów="Tak", PRODUCT(1+J$54:INDEX($J$54:J141, ROWS($D$54:D141)-1)), 1), 0))</f>
        <v>0</v>
      </c>
      <c r="Q141" s="170">
        <f>IF(Tabela3[[#This Row],[Rok]]&gt;HoryzontInwestycyjny,0,SUMIF(Kredyt!$E:$E,Tabela3[[#This Row],[Rok]],Kredyt!$I:$I))</f>
        <v>0</v>
      </c>
      <c r="R141" s="171">
        <f>IF(Tabela3[[#This Row],[Rok]]&gt;HoryzontInwestycyjny,0,SUMIF(Kredyt!$E:$E,Tabela3[[#This Row],[Rok]],Kredyt!$J:$J))</f>
        <v>0</v>
      </c>
      <c r="S141" s="172">
        <f>Tabela3[[#This Row],[Rata kredytu: odsetki]]+Tabela3[[#This Row],[Rata kredytu: kapitał]]</f>
        <v>0</v>
      </c>
      <c r="T141" s="169" cm="1">
        <f t="array" ref="T141">IF(Tabela3[[#This Row],[Rok]]&gt;HoryzontInwestycyjny,0,IFERROR(INDEX(Kredyt!$M:$M,11+Tabela3[[#This Row],[Rok]]*12) * UbezŻyć,""))</f>
        <v>0</v>
      </c>
      <c r="U141" s="155" cm="1">
        <f t="array" ref="U141">IF(Tabela3[[#This Row],[Rok]]&gt;HoryzontInwestycyjny,0,IF(CzasKredytu&gt;=Tabela3[[#This Row],[Rok]],IF(ZmianaKosztów="Tak",UbezMiesz* PRODUCT(1+J141:J141), UbezMiesz),""))</f>
        <v>0</v>
      </c>
      <c r="V141" s="155" cm="1">
        <f t="array" ref="V141">IF(Tabela3[[#This Row],[Rok]]&gt;HoryzontInwestycyjny,0,IF(ZmianaKosztów="Tak", PodatekOdNieruchomości * PRODUCT(1+J$54:J140), PodNie))</f>
        <v>0</v>
      </c>
      <c r="W141" s="155">
        <f>KosztyZarządzania*Tabela3[[#This Row],[Przychody z wynajmu]]</f>
        <v>0</v>
      </c>
      <c r="X141" s="155" cm="1">
        <f t="array" ref="X141">IF(Tabela3[[#This Row],[Rok]]&gt;HoryzontInwestycyjny,0,IF(ZmianaKosztów="Tak", InneKosztyRocznie* PRODUCT(1+J$55:J141), InneKosztyRocznie))</f>
        <v>0</v>
      </c>
      <c r="Y141" s="155">
        <f>SUM(Tabela3[[#This Row],[Cena mieszkania + remont początkowy]:[Inne koszty]])-Tabela3[[#This Row],[Rata kredytu]]</f>
        <v>0</v>
      </c>
      <c r="Z141" s="155">
        <f>IF(Tabela3[[#This Row],[Przychody z wynajmu]]&lt;=100000, Tabela3[[#This Row],[Przychody z wynajmu]]*MałyPodatek, 100000*MałyPodatek + (Tabela3[[#This Row],[Przychody z wynajmu]]-100000)*DużyPodatek)</f>
        <v>0</v>
      </c>
      <c r="AA141" s="155">
        <f>Tabela3[[#This Row],[Wydatki związane z najmem całkowite]]+Tabela3[[#This Row],[Podatek od przychodu]]</f>
        <v>0</v>
      </c>
      <c r="AB141" s="155">
        <f>IF(Tabela3[[#This Row],[Rok]]&gt;HoryzontInwestycyjny,0,Tabela3[[#This Row],[Przychody z wynajmu]]-Tabela3[[#This Row],[Wydatki związane z najmem całkowite]]-Tabela3[[#This Row],[Podatek od przychodu]])</f>
        <v>0</v>
      </c>
      <c r="AC141" s="155">
        <f>IF(Tabela3[[#This Row],[Rok]]&gt;HoryzontInwestycyjny,0,AC140+Tabela3[[#This Row],[Wynik z najmu netto rocznie]])</f>
        <v>0</v>
      </c>
      <c r="AD141" s="176" t="str">
        <f>IF(Tabela3[[#This Row],[Rok]]&gt;HoryzontInwestycyjny,"",IF(ZmianaWartościNieruchomości="Inflacyjnie",Inflacja,0))</f>
        <v/>
      </c>
      <c r="AE141" s="177" t="str">
        <f>IF(Tabela3[[#This Row],[Rok]]&gt;HoryzontInwestycyjny,"",StałyProcentZmianyWartościNieruchomości)</f>
        <v/>
      </c>
      <c r="AF141" s="178" t="str">
        <f>IF(Tabela3[[#This Row],[Rok]]&gt;HoryzontInwestycyjny,"",StałaKwotaZmianyWartościNieruchomości)</f>
        <v/>
      </c>
      <c r="AG141" s="155">
        <f>IF(Tabela3[[#This Row],[Rok]]&gt;HoryzontInwestycyjny,0,IF(ZmianaWartościNieruchomości="bez zmian",AG140,IF(ZmianaWartościNieruchomości="inflacyjnie",AG140*(1+Tabela3[[#This Row],[Inflacja3]]),IF(ZmianaWartościNieruchomości="stały %",AG140*(1+Tabela3[[#This Row],[Stały % zmiany warrtości]]),IF(ZmianaWartościNieruchomości="stała kwota",AG140+AF141,AG140)))))</f>
        <v>0</v>
      </c>
      <c r="AH141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41" s="177" cm="1">
        <f t="array" ref="AI141">Tabela3[[#This Row],[Wynik z najmu netto rocznie]]/IF(CzyKredyt="Tak",WydanaGotówka2,WydanaGotówka1)</f>
        <v>0</v>
      </c>
      <c r="AJ141" s="177" cm="1">
        <f t="array" ref="AJ141">Tabela3[[#This Row],[Wynik z najmu netto rocznie]]/IF(CzyKredyt="Tak",SumaKosztówPoczątkowychInwestycji,SumaKosztów)</f>
        <v>0</v>
      </c>
      <c r="AK141" s="155" cm="1">
        <f t="array" ref="AK141">IF(Tabela3[[#This Row],[Rok]]&gt;HoryzontInwestycyjny,0,-IF(CzyKredyt="Tak",WydanaGotówka2,WydanaGotówka1)+Tabela3[[#This Row],[Skumulowany wynik z najmu netto z najmu]])</f>
        <v>0</v>
      </c>
    </row>
    <row r="142" spans="3:37">
      <c r="C142" s="158">
        <v>89</v>
      </c>
      <c r="D142" s="152">
        <f t="shared" si="4"/>
        <v>0.02</v>
      </c>
      <c r="E142" s="152">
        <f t="shared" si="5"/>
        <v>0.04</v>
      </c>
      <c r="F142" s="167">
        <f t="shared" si="6"/>
        <v>150</v>
      </c>
      <c r="G142" s="151">
        <f>IF(Tabela3[[#This Row],[Rok]]&gt;HoryzontInwestycyjny,0,IF(ZmianaOdstępnego="bez zmian",G141,IF(ZmianaOdstępnego="inflacyjnie",G141*(1+Wyniki2!$D142),IF(ZmianaOdstępnego="stały %",G141*(1+Wyniki2!$E142),IF(ZmianaOdstępnego="stała kwota",G141+Wyniki2!$F142,)))))</f>
        <v>0</v>
      </c>
      <c r="H142" s="165">
        <f>IF(Tabela3[[#This Row],[Rok]]&gt;HoryzontInwestycyjny,0,MAX(0, MiesiąceNajmu - MAX(0, MAX(IFERROR(IF(MOD($C142, MałyRemont) = 0,Czas_MałyRemont, 0),0),IFERROR(IF(MOD($C142,DużyRemont) = 0,Czas_DużyRemont, 0),0)) - (12 -MiesiąceNajmu))))</f>
        <v>0</v>
      </c>
      <c r="I142" s="166">
        <f t="shared" si="8"/>
        <v>0</v>
      </c>
      <c r="J142" s="152" t="str">
        <f>IF(Tabela3[[#This Row],[Rok]]&gt;HoryzontInwestycyjny,"",IF(ZmianaKosztów="TAK",Inflacja,0))</f>
        <v/>
      </c>
      <c r="K142" s="155"/>
      <c r="L142" s="155"/>
      <c r="M142" s="155"/>
      <c r="N142" s="171" cm="1">
        <f t="array" ref="N142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42" s="171" cm="1">
        <f t="array" ref="O142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42" s="155" cm="1">
        <f t="array" ref="P142">IF(Tabela3[[#This Row],[Rok]]&gt;HoryzontInwestycyjny,0,IF(12-Tabela3[[#This Row],[Liczba wynajętych miesięcy w roku]]&gt;0, (12-Tabela3[[#This Row],[Liczba wynajętych miesięcy w roku]]) *CzynszWspólnoty* IF(ZmianaKosztów="Tak", PRODUCT(1+J$54:INDEX($J$54:J142, ROWS($D$54:D142)-1)), 1), 0))</f>
        <v>0</v>
      </c>
      <c r="Q142" s="170">
        <f>IF(Tabela3[[#This Row],[Rok]]&gt;HoryzontInwestycyjny,0,SUMIF(Kredyt!$E:$E,Tabela3[[#This Row],[Rok]],Kredyt!$I:$I))</f>
        <v>0</v>
      </c>
      <c r="R142" s="171">
        <f>IF(Tabela3[[#This Row],[Rok]]&gt;HoryzontInwestycyjny,0,SUMIF(Kredyt!$E:$E,Tabela3[[#This Row],[Rok]],Kredyt!$J:$J))</f>
        <v>0</v>
      </c>
      <c r="S142" s="155">
        <f>Tabela3[[#This Row],[Rata kredytu: odsetki]]+Tabela3[[#This Row],[Rata kredytu: kapitał]]</f>
        <v>0</v>
      </c>
      <c r="T142" s="169" cm="1">
        <f t="array" ref="T142">IF(Tabela3[[#This Row],[Rok]]&gt;HoryzontInwestycyjny,0,IFERROR(INDEX(Kredyt!$M:$M,11+Tabela3[[#This Row],[Rok]]*12) * UbezŻyć,""))</f>
        <v>0</v>
      </c>
      <c r="U142" s="155" cm="1">
        <f t="array" ref="U142">IF(Tabela3[[#This Row],[Rok]]&gt;HoryzontInwestycyjny,0,IF(CzasKredytu&gt;=Tabela3[[#This Row],[Rok]],IF(ZmianaKosztów="Tak",UbezMiesz* PRODUCT(1+J142:J142), UbezMiesz),""))</f>
        <v>0</v>
      </c>
      <c r="V142" s="155" cm="1">
        <f t="array" ref="V142">IF(Tabela3[[#This Row],[Rok]]&gt;HoryzontInwestycyjny,0,IF(ZmianaKosztów="Tak", PodatekOdNieruchomości * PRODUCT(1+J$54:J141), PodNie))</f>
        <v>0</v>
      </c>
      <c r="W142" s="155">
        <f>KosztyZarządzania*Tabela3[[#This Row],[Przychody z wynajmu]]</f>
        <v>0</v>
      </c>
      <c r="X142" s="155" cm="1">
        <f t="array" ref="X142">IF(Tabela3[[#This Row],[Rok]]&gt;HoryzontInwestycyjny,0,IF(ZmianaKosztów="Tak", InneKosztyRocznie* PRODUCT(1+J$55:J142), InneKosztyRocznie))</f>
        <v>0</v>
      </c>
      <c r="Y142" s="155">
        <f>SUM(Tabela3[[#This Row],[Cena mieszkania + remont początkowy]:[Inne koszty]])-Tabela3[[#This Row],[Rata kredytu]]</f>
        <v>0</v>
      </c>
      <c r="Z142" s="155">
        <f>IF(Tabela3[[#This Row],[Przychody z wynajmu]]&lt;=100000, Tabela3[[#This Row],[Przychody z wynajmu]]*MałyPodatek, 100000*MałyPodatek + (Tabela3[[#This Row],[Przychody z wynajmu]]-100000)*DużyPodatek)</f>
        <v>0</v>
      </c>
      <c r="AA142" s="155">
        <f>Tabela3[[#This Row],[Wydatki związane z najmem całkowite]]+Tabela3[[#This Row],[Podatek od przychodu]]</f>
        <v>0</v>
      </c>
      <c r="AB142" s="155">
        <f>IF(Tabela3[[#This Row],[Rok]]&gt;HoryzontInwestycyjny,0,Tabela3[[#This Row],[Przychody z wynajmu]]-Tabela3[[#This Row],[Wydatki związane z najmem całkowite]]-Tabela3[[#This Row],[Podatek od przychodu]])</f>
        <v>0</v>
      </c>
      <c r="AC142" s="155">
        <f>IF(Tabela3[[#This Row],[Rok]]&gt;HoryzontInwestycyjny,0,AC141+Tabela3[[#This Row],[Wynik z najmu netto rocznie]])</f>
        <v>0</v>
      </c>
      <c r="AD142" s="176" t="str">
        <f>IF(Tabela3[[#This Row],[Rok]]&gt;HoryzontInwestycyjny,"",IF(ZmianaWartościNieruchomości="Inflacyjnie",Inflacja,0))</f>
        <v/>
      </c>
      <c r="AE142" s="177" t="str">
        <f>IF(Tabela3[[#This Row],[Rok]]&gt;HoryzontInwestycyjny,"",StałyProcentZmianyWartościNieruchomości)</f>
        <v/>
      </c>
      <c r="AF142" s="178" t="str">
        <f>IF(Tabela3[[#This Row],[Rok]]&gt;HoryzontInwestycyjny,"",StałaKwotaZmianyWartościNieruchomości)</f>
        <v/>
      </c>
      <c r="AG142" s="155">
        <f>IF(Tabela3[[#This Row],[Rok]]&gt;HoryzontInwestycyjny,0,IF(ZmianaWartościNieruchomości="bez zmian",AG141,IF(ZmianaWartościNieruchomości="inflacyjnie",AG141*(1+Tabela3[[#This Row],[Inflacja3]]),IF(ZmianaWartościNieruchomości="stały %",AG141*(1+Tabela3[[#This Row],[Stały % zmiany warrtości]]),IF(ZmianaWartościNieruchomości="stała kwota",AG141+AF142,AG141)))))</f>
        <v>0</v>
      </c>
      <c r="AH142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42" s="177" cm="1">
        <f t="array" ref="AI142">Tabela3[[#This Row],[Wynik z najmu netto rocznie]]/IF(CzyKredyt="Tak",WydanaGotówka2,WydanaGotówka1)</f>
        <v>0</v>
      </c>
      <c r="AJ142" s="177" cm="1">
        <f t="array" ref="AJ142">Tabela3[[#This Row],[Wynik z najmu netto rocznie]]/IF(CzyKredyt="Tak",SumaKosztówPoczątkowychInwestycji,SumaKosztów)</f>
        <v>0</v>
      </c>
      <c r="AK142" s="155" cm="1">
        <f t="array" ref="AK142">IF(Tabela3[[#This Row],[Rok]]&gt;HoryzontInwestycyjny,0,-IF(CzyKredyt="Tak",WydanaGotówka2,WydanaGotówka1)+Tabela3[[#This Row],[Skumulowany wynik z najmu netto z najmu]])</f>
        <v>0</v>
      </c>
    </row>
    <row r="143" spans="3:37">
      <c r="C143" s="168">
        <v>90</v>
      </c>
      <c r="D143" s="152">
        <f t="shared" si="4"/>
        <v>0.02</v>
      </c>
      <c r="E143" s="152">
        <f t="shared" si="5"/>
        <v>0.04</v>
      </c>
      <c r="F143" s="167">
        <f t="shared" si="6"/>
        <v>150</v>
      </c>
      <c r="G143" s="151">
        <f>IF(Tabela3[[#This Row],[Rok]]&gt;HoryzontInwestycyjny,0,IF(ZmianaOdstępnego="bez zmian",G142,IF(ZmianaOdstępnego="inflacyjnie",G142*(1+Wyniki2!$D143),IF(ZmianaOdstępnego="stały %",G142*(1+Wyniki2!$E143),IF(ZmianaOdstępnego="stała kwota",G142+Wyniki2!$F143,)))))</f>
        <v>0</v>
      </c>
      <c r="H143" s="165">
        <f>IF(Tabela3[[#This Row],[Rok]]&gt;HoryzontInwestycyjny,0,MAX(0, MiesiąceNajmu - MAX(0, MAX(IFERROR(IF(MOD($C143, MałyRemont) = 0,Czas_MałyRemont, 0),0),IFERROR(IF(MOD($C143,DużyRemont) = 0,Czas_DużyRemont, 0),0)) - (12 -MiesiąceNajmu))))</f>
        <v>0</v>
      </c>
      <c r="I143" s="166">
        <f t="shared" si="8"/>
        <v>0</v>
      </c>
      <c r="J143" s="152" t="str">
        <f>IF(Tabela3[[#This Row],[Rok]]&gt;HoryzontInwestycyjny,"",IF(ZmianaKosztów="TAK",Inflacja,0))</f>
        <v/>
      </c>
      <c r="K143" s="172"/>
      <c r="L143" s="172"/>
      <c r="M143" s="172"/>
      <c r="N143" s="171" cm="1">
        <f t="array" ref="N143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43" s="171" cm="1">
        <f t="array" ref="O143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43" s="155" cm="1">
        <f t="array" ref="P143">IF(Tabela3[[#This Row],[Rok]]&gt;HoryzontInwestycyjny,0,IF(12-Tabela3[[#This Row],[Liczba wynajętych miesięcy w roku]]&gt;0, (12-Tabela3[[#This Row],[Liczba wynajętych miesięcy w roku]]) *CzynszWspólnoty* IF(ZmianaKosztów="Tak", PRODUCT(1+J$54:INDEX($J$54:J143, ROWS($D$54:D143)-1)), 1), 0))</f>
        <v>0</v>
      </c>
      <c r="Q143" s="170">
        <f>IF(Tabela3[[#This Row],[Rok]]&gt;HoryzontInwestycyjny,0,SUMIF(Kredyt!$E:$E,Tabela3[[#This Row],[Rok]],Kredyt!$I:$I))</f>
        <v>0</v>
      </c>
      <c r="R143" s="171">
        <f>IF(Tabela3[[#This Row],[Rok]]&gt;HoryzontInwestycyjny,0,SUMIF(Kredyt!$E:$E,Tabela3[[#This Row],[Rok]],Kredyt!$J:$J))</f>
        <v>0</v>
      </c>
      <c r="S143" s="172">
        <f>Tabela3[[#This Row],[Rata kredytu: odsetki]]+Tabela3[[#This Row],[Rata kredytu: kapitał]]</f>
        <v>0</v>
      </c>
      <c r="T143" s="169" cm="1">
        <f t="array" ref="T143">IF(Tabela3[[#This Row],[Rok]]&gt;HoryzontInwestycyjny,0,IFERROR(INDEX(Kredyt!$M:$M,11+Tabela3[[#This Row],[Rok]]*12) * UbezŻyć,""))</f>
        <v>0</v>
      </c>
      <c r="U143" s="155" cm="1">
        <f t="array" ref="U143">IF(Tabela3[[#This Row],[Rok]]&gt;HoryzontInwestycyjny,0,IF(CzasKredytu&gt;=Tabela3[[#This Row],[Rok]],IF(ZmianaKosztów="Tak",UbezMiesz* PRODUCT(1+J143:J143), UbezMiesz),""))</f>
        <v>0</v>
      </c>
      <c r="V143" s="155" cm="1">
        <f t="array" ref="V143">IF(Tabela3[[#This Row],[Rok]]&gt;HoryzontInwestycyjny,0,IF(ZmianaKosztów="Tak", PodatekOdNieruchomości * PRODUCT(1+J$54:J142), PodNie))</f>
        <v>0</v>
      </c>
      <c r="W143" s="155">
        <f>KosztyZarządzania*Tabela3[[#This Row],[Przychody z wynajmu]]</f>
        <v>0</v>
      </c>
      <c r="X143" s="155" cm="1">
        <f t="array" ref="X143">IF(Tabela3[[#This Row],[Rok]]&gt;HoryzontInwestycyjny,0,IF(ZmianaKosztów="Tak", InneKosztyRocznie* PRODUCT(1+J$55:J143), InneKosztyRocznie))</f>
        <v>0</v>
      </c>
      <c r="Y143" s="155">
        <f>SUM(Tabela3[[#This Row],[Cena mieszkania + remont początkowy]:[Inne koszty]])-Tabela3[[#This Row],[Rata kredytu]]</f>
        <v>0</v>
      </c>
      <c r="Z143" s="155">
        <f>IF(Tabela3[[#This Row],[Przychody z wynajmu]]&lt;=100000, Tabela3[[#This Row],[Przychody z wynajmu]]*MałyPodatek, 100000*MałyPodatek + (Tabela3[[#This Row],[Przychody z wynajmu]]-100000)*DużyPodatek)</f>
        <v>0</v>
      </c>
      <c r="AA143" s="155">
        <f>Tabela3[[#This Row],[Wydatki związane z najmem całkowite]]+Tabela3[[#This Row],[Podatek od przychodu]]</f>
        <v>0</v>
      </c>
      <c r="AB143" s="155">
        <f>IF(Tabela3[[#This Row],[Rok]]&gt;HoryzontInwestycyjny,0,Tabela3[[#This Row],[Przychody z wynajmu]]-Tabela3[[#This Row],[Wydatki związane z najmem całkowite]]-Tabela3[[#This Row],[Podatek od przychodu]])</f>
        <v>0</v>
      </c>
      <c r="AC143" s="155">
        <f>IF(Tabela3[[#This Row],[Rok]]&gt;HoryzontInwestycyjny,0,AC142+Tabela3[[#This Row],[Wynik z najmu netto rocznie]])</f>
        <v>0</v>
      </c>
      <c r="AD143" s="176" t="str">
        <f>IF(Tabela3[[#This Row],[Rok]]&gt;HoryzontInwestycyjny,"",IF(ZmianaWartościNieruchomości="Inflacyjnie",Inflacja,0))</f>
        <v/>
      </c>
      <c r="AE143" s="177" t="str">
        <f>IF(Tabela3[[#This Row],[Rok]]&gt;HoryzontInwestycyjny,"",StałyProcentZmianyWartościNieruchomości)</f>
        <v/>
      </c>
      <c r="AF143" s="178" t="str">
        <f>IF(Tabela3[[#This Row],[Rok]]&gt;HoryzontInwestycyjny,"",StałaKwotaZmianyWartościNieruchomości)</f>
        <v/>
      </c>
      <c r="AG143" s="155">
        <f>IF(Tabela3[[#This Row],[Rok]]&gt;HoryzontInwestycyjny,0,IF(ZmianaWartościNieruchomości="bez zmian",AG142,IF(ZmianaWartościNieruchomości="inflacyjnie",AG142*(1+Tabela3[[#This Row],[Inflacja3]]),IF(ZmianaWartościNieruchomości="stały %",AG142*(1+Tabela3[[#This Row],[Stały % zmiany warrtości]]),IF(ZmianaWartościNieruchomości="stała kwota",AG142+AF143,AG142)))))</f>
        <v>0</v>
      </c>
      <c r="AH143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43" s="177" cm="1">
        <f t="array" ref="AI143">Tabela3[[#This Row],[Wynik z najmu netto rocznie]]/IF(CzyKredyt="Tak",WydanaGotówka2,WydanaGotówka1)</f>
        <v>0</v>
      </c>
      <c r="AJ143" s="177" cm="1">
        <f t="array" ref="AJ143">Tabela3[[#This Row],[Wynik z najmu netto rocznie]]/IF(CzyKredyt="Tak",SumaKosztówPoczątkowychInwestycji,SumaKosztów)</f>
        <v>0</v>
      </c>
      <c r="AK143" s="155" cm="1">
        <f t="array" ref="AK143">IF(Tabela3[[#This Row],[Rok]]&gt;HoryzontInwestycyjny,0,-IF(CzyKredyt="Tak",WydanaGotówka2,WydanaGotówka1)+Tabela3[[#This Row],[Skumulowany wynik z najmu netto z najmu]])</f>
        <v>0</v>
      </c>
    </row>
    <row r="144" spans="3:37">
      <c r="C144" s="158">
        <v>91</v>
      </c>
      <c r="D144" s="152">
        <f t="shared" si="4"/>
        <v>0.02</v>
      </c>
      <c r="E144" s="152">
        <f t="shared" si="5"/>
        <v>0.04</v>
      </c>
      <c r="F144" s="167">
        <f t="shared" si="6"/>
        <v>150</v>
      </c>
      <c r="G144" s="151">
        <f>IF(Tabela3[[#This Row],[Rok]]&gt;HoryzontInwestycyjny,0,IF(ZmianaOdstępnego="bez zmian",G143,IF(ZmianaOdstępnego="inflacyjnie",G143*(1+Wyniki2!$D144),IF(ZmianaOdstępnego="stały %",G143*(1+Wyniki2!$E144),IF(ZmianaOdstępnego="stała kwota",G143+Wyniki2!$F144,)))))</f>
        <v>0</v>
      </c>
      <c r="H144" s="165">
        <f>IF(Tabela3[[#This Row],[Rok]]&gt;HoryzontInwestycyjny,0,MAX(0, MiesiąceNajmu - MAX(0, MAX(IFERROR(IF(MOD($C144, MałyRemont) = 0,Czas_MałyRemont, 0),0),IFERROR(IF(MOD($C144,DużyRemont) = 0,Czas_DużyRemont, 0),0)) - (12 -MiesiąceNajmu))))</f>
        <v>0</v>
      </c>
      <c r="I144" s="166">
        <f t="shared" si="8"/>
        <v>0</v>
      </c>
      <c r="J144" s="152" t="str">
        <f>IF(Tabela3[[#This Row],[Rok]]&gt;HoryzontInwestycyjny,"",IF(ZmianaKosztów="TAK",Inflacja,0))</f>
        <v/>
      </c>
      <c r="K144" s="155"/>
      <c r="L144" s="155"/>
      <c r="M144" s="155"/>
      <c r="N144" s="171" cm="1">
        <f t="array" ref="N144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44" s="171" cm="1">
        <f t="array" ref="O144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44" s="155" cm="1">
        <f t="array" ref="P144">IF(Tabela3[[#This Row],[Rok]]&gt;HoryzontInwestycyjny,0,IF(12-Tabela3[[#This Row],[Liczba wynajętych miesięcy w roku]]&gt;0, (12-Tabela3[[#This Row],[Liczba wynajętych miesięcy w roku]]) *CzynszWspólnoty* IF(ZmianaKosztów="Tak", PRODUCT(1+J$54:INDEX($J$54:J144, ROWS($D$54:D144)-1)), 1), 0))</f>
        <v>0</v>
      </c>
      <c r="Q144" s="170">
        <f>IF(Tabela3[[#This Row],[Rok]]&gt;HoryzontInwestycyjny,0,SUMIF(Kredyt!$E:$E,Tabela3[[#This Row],[Rok]],Kredyt!$I:$I))</f>
        <v>0</v>
      </c>
      <c r="R144" s="171">
        <f>IF(Tabela3[[#This Row],[Rok]]&gt;HoryzontInwestycyjny,0,SUMIF(Kredyt!$E:$E,Tabela3[[#This Row],[Rok]],Kredyt!$J:$J))</f>
        <v>0</v>
      </c>
      <c r="S144" s="155">
        <f>Tabela3[[#This Row],[Rata kredytu: odsetki]]+Tabela3[[#This Row],[Rata kredytu: kapitał]]</f>
        <v>0</v>
      </c>
      <c r="T144" s="169" cm="1">
        <f t="array" ref="T144">IF(Tabela3[[#This Row],[Rok]]&gt;HoryzontInwestycyjny,0,IFERROR(INDEX(Kredyt!$M:$M,11+Tabela3[[#This Row],[Rok]]*12) * UbezŻyć,""))</f>
        <v>0</v>
      </c>
      <c r="U144" s="155" cm="1">
        <f t="array" ref="U144">IF(Tabela3[[#This Row],[Rok]]&gt;HoryzontInwestycyjny,0,IF(CzasKredytu&gt;=Tabela3[[#This Row],[Rok]],IF(ZmianaKosztów="Tak",UbezMiesz* PRODUCT(1+J144:J144), UbezMiesz),""))</f>
        <v>0</v>
      </c>
      <c r="V144" s="155" cm="1">
        <f t="array" ref="V144">IF(Tabela3[[#This Row],[Rok]]&gt;HoryzontInwestycyjny,0,IF(ZmianaKosztów="Tak", PodatekOdNieruchomości * PRODUCT(1+J$54:J143), PodNie))</f>
        <v>0</v>
      </c>
      <c r="W144" s="155">
        <f>KosztyZarządzania*Tabela3[[#This Row],[Przychody z wynajmu]]</f>
        <v>0</v>
      </c>
      <c r="X144" s="155" cm="1">
        <f t="array" ref="X144">IF(Tabela3[[#This Row],[Rok]]&gt;HoryzontInwestycyjny,0,IF(ZmianaKosztów="Tak", InneKosztyRocznie* PRODUCT(1+J$55:J144), InneKosztyRocznie))</f>
        <v>0</v>
      </c>
      <c r="Y144" s="155">
        <f>SUM(Tabela3[[#This Row],[Cena mieszkania + remont początkowy]:[Inne koszty]])-Tabela3[[#This Row],[Rata kredytu]]</f>
        <v>0</v>
      </c>
      <c r="Z144" s="155">
        <f>IF(Tabela3[[#This Row],[Przychody z wynajmu]]&lt;=100000, Tabela3[[#This Row],[Przychody z wynajmu]]*MałyPodatek, 100000*MałyPodatek + (Tabela3[[#This Row],[Przychody z wynajmu]]-100000)*DużyPodatek)</f>
        <v>0</v>
      </c>
      <c r="AA144" s="155">
        <f>Tabela3[[#This Row],[Wydatki związane z najmem całkowite]]+Tabela3[[#This Row],[Podatek od przychodu]]</f>
        <v>0</v>
      </c>
      <c r="AB144" s="155">
        <f>IF(Tabela3[[#This Row],[Rok]]&gt;HoryzontInwestycyjny,0,Tabela3[[#This Row],[Przychody z wynajmu]]-Tabela3[[#This Row],[Wydatki związane z najmem całkowite]]-Tabela3[[#This Row],[Podatek od przychodu]])</f>
        <v>0</v>
      </c>
      <c r="AC144" s="155">
        <f>IF(Tabela3[[#This Row],[Rok]]&gt;HoryzontInwestycyjny,0,AC143+Tabela3[[#This Row],[Wynik z najmu netto rocznie]])</f>
        <v>0</v>
      </c>
      <c r="AD144" s="176" t="str">
        <f>IF(Tabela3[[#This Row],[Rok]]&gt;HoryzontInwestycyjny,"",IF(ZmianaWartościNieruchomości="Inflacyjnie",Inflacja,0))</f>
        <v/>
      </c>
      <c r="AE144" s="177" t="str">
        <f>IF(Tabela3[[#This Row],[Rok]]&gt;HoryzontInwestycyjny,"",StałyProcentZmianyWartościNieruchomości)</f>
        <v/>
      </c>
      <c r="AF144" s="178" t="str">
        <f>IF(Tabela3[[#This Row],[Rok]]&gt;HoryzontInwestycyjny,"",StałaKwotaZmianyWartościNieruchomości)</f>
        <v/>
      </c>
      <c r="AG144" s="155">
        <f>IF(Tabela3[[#This Row],[Rok]]&gt;HoryzontInwestycyjny,0,IF(ZmianaWartościNieruchomości="bez zmian",AG143,IF(ZmianaWartościNieruchomości="inflacyjnie",AG143*(1+Tabela3[[#This Row],[Inflacja3]]),IF(ZmianaWartościNieruchomości="stały %",AG143*(1+Tabela3[[#This Row],[Stały % zmiany warrtości]]),IF(ZmianaWartościNieruchomości="stała kwota",AG143+AF144,AG143)))))</f>
        <v>0</v>
      </c>
      <c r="AH144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44" s="177" cm="1">
        <f t="array" ref="AI144">Tabela3[[#This Row],[Wynik z najmu netto rocznie]]/IF(CzyKredyt="Tak",WydanaGotówka2,WydanaGotówka1)</f>
        <v>0</v>
      </c>
      <c r="AJ144" s="177" cm="1">
        <f t="array" ref="AJ144">Tabela3[[#This Row],[Wynik z najmu netto rocznie]]/IF(CzyKredyt="Tak",SumaKosztówPoczątkowychInwestycji,SumaKosztów)</f>
        <v>0</v>
      </c>
      <c r="AK144" s="155" cm="1">
        <f t="array" ref="AK144">IF(Tabela3[[#This Row],[Rok]]&gt;HoryzontInwestycyjny,0,-IF(CzyKredyt="Tak",WydanaGotówka2,WydanaGotówka1)+Tabela3[[#This Row],[Skumulowany wynik z najmu netto z najmu]])</f>
        <v>0</v>
      </c>
    </row>
    <row r="145" spans="3:37">
      <c r="C145" s="168">
        <v>92</v>
      </c>
      <c r="D145" s="152">
        <f t="shared" si="4"/>
        <v>0.02</v>
      </c>
      <c r="E145" s="152">
        <f t="shared" si="5"/>
        <v>0.04</v>
      </c>
      <c r="F145" s="167">
        <f t="shared" si="6"/>
        <v>150</v>
      </c>
      <c r="G145" s="151">
        <f>IF(Tabela3[[#This Row],[Rok]]&gt;HoryzontInwestycyjny,0,IF(ZmianaOdstępnego="bez zmian",G144,IF(ZmianaOdstępnego="inflacyjnie",G144*(1+Wyniki2!$D145),IF(ZmianaOdstępnego="stały %",G144*(1+Wyniki2!$E145),IF(ZmianaOdstępnego="stała kwota",G144+Wyniki2!$F145,)))))</f>
        <v>0</v>
      </c>
      <c r="H145" s="165">
        <f>IF(Tabela3[[#This Row],[Rok]]&gt;HoryzontInwestycyjny,0,MAX(0, MiesiąceNajmu - MAX(0, MAX(IFERROR(IF(MOD($C145, MałyRemont) = 0,Czas_MałyRemont, 0),0),IFERROR(IF(MOD($C145,DużyRemont) = 0,Czas_DużyRemont, 0),0)) - (12 -MiesiąceNajmu))))</f>
        <v>0</v>
      </c>
      <c r="I145" s="166">
        <f t="shared" si="8"/>
        <v>0</v>
      </c>
      <c r="J145" s="152" t="str">
        <f>IF(Tabela3[[#This Row],[Rok]]&gt;HoryzontInwestycyjny,"",IF(ZmianaKosztów="TAK",Inflacja,0))</f>
        <v/>
      </c>
      <c r="K145" s="172"/>
      <c r="L145" s="172"/>
      <c r="M145" s="172"/>
      <c r="N145" s="171" cm="1">
        <f t="array" ref="N145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45" s="171" cm="1">
        <f t="array" ref="O145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45" s="155" cm="1">
        <f t="array" ref="P145">IF(Tabela3[[#This Row],[Rok]]&gt;HoryzontInwestycyjny,0,IF(12-Tabela3[[#This Row],[Liczba wynajętych miesięcy w roku]]&gt;0, (12-Tabela3[[#This Row],[Liczba wynajętych miesięcy w roku]]) *CzynszWspólnoty* IF(ZmianaKosztów="Tak", PRODUCT(1+J$54:INDEX($J$54:J145, ROWS($D$54:D145)-1)), 1), 0))</f>
        <v>0</v>
      </c>
      <c r="Q145" s="170">
        <f>IF(Tabela3[[#This Row],[Rok]]&gt;HoryzontInwestycyjny,0,SUMIF(Kredyt!$E:$E,Tabela3[[#This Row],[Rok]],Kredyt!$I:$I))</f>
        <v>0</v>
      </c>
      <c r="R145" s="171">
        <f>IF(Tabela3[[#This Row],[Rok]]&gt;HoryzontInwestycyjny,0,SUMIF(Kredyt!$E:$E,Tabela3[[#This Row],[Rok]],Kredyt!$J:$J))</f>
        <v>0</v>
      </c>
      <c r="S145" s="172">
        <f>Tabela3[[#This Row],[Rata kredytu: odsetki]]+Tabela3[[#This Row],[Rata kredytu: kapitał]]</f>
        <v>0</v>
      </c>
      <c r="T145" s="169" cm="1">
        <f t="array" ref="T145">IF(Tabela3[[#This Row],[Rok]]&gt;HoryzontInwestycyjny,0,IFERROR(INDEX(Kredyt!$M:$M,11+Tabela3[[#This Row],[Rok]]*12) * UbezŻyć,""))</f>
        <v>0</v>
      </c>
      <c r="U145" s="155" cm="1">
        <f t="array" ref="U145">IF(Tabela3[[#This Row],[Rok]]&gt;HoryzontInwestycyjny,0,IF(CzasKredytu&gt;=Tabela3[[#This Row],[Rok]],IF(ZmianaKosztów="Tak",UbezMiesz* PRODUCT(1+J145:J145), UbezMiesz),""))</f>
        <v>0</v>
      </c>
      <c r="V145" s="155" cm="1">
        <f t="array" ref="V145">IF(Tabela3[[#This Row],[Rok]]&gt;HoryzontInwestycyjny,0,IF(ZmianaKosztów="Tak", PodatekOdNieruchomości * PRODUCT(1+J$54:J144), PodNie))</f>
        <v>0</v>
      </c>
      <c r="W145" s="155">
        <f>KosztyZarządzania*Tabela3[[#This Row],[Przychody z wynajmu]]</f>
        <v>0</v>
      </c>
      <c r="X145" s="155" cm="1">
        <f t="array" ref="X145">IF(Tabela3[[#This Row],[Rok]]&gt;HoryzontInwestycyjny,0,IF(ZmianaKosztów="Tak", InneKosztyRocznie* PRODUCT(1+J$55:J145), InneKosztyRocznie))</f>
        <v>0</v>
      </c>
      <c r="Y145" s="155">
        <f>SUM(Tabela3[[#This Row],[Cena mieszkania + remont początkowy]:[Inne koszty]])-Tabela3[[#This Row],[Rata kredytu]]</f>
        <v>0</v>
      </c>
      <c r="Z145" s="155">
        <f>IF(Tabela3[[#This Row],[Przychody z wynajmu]]&lt;=100000, Tabela3[[#This Row],[Przychody z wynajmu]]*MałyPodatek, 100000*MałyPodatek + (Tabela3[[#This Row],[Przychody z wynajmu]]-100000)*DużyPodatek)</f>
        <v>0</v>
      </c>
      <c r="AA145" s="155">
        <f>Tabela3[[#This Row],[Wydatki związane z najmem całkowite]]+Tabela3[[#This Row],[Podatek od przychodu]]</f>
        <v>0</v>
      </c>
      <c r="AB145" s="155">
        <f>IF(Tabela3[[#This Row],[Rok]]&gt;HoryzontInwestycyjny,0,Tabela3[[#This Row],[Przychody z wynajmu]]-Tabela3[[#This Row],[Wydatki związane z najmem całkowite]]-Tabela3[[#This Row],[Podatek od przychodu]])</f>
        <v>0</v>
      </c>
      <c r="AC145" s="155">
        <f>IF(Tabela3[[#This Row],[Rok]]&gt;HoryzontInwestycyjny,0,AC144+Tabela3[[#This Row],[Wynik z najmu netto rocznie]])</f>
        <v>0</v>
      </c>
      <c r="AD145" s="176" t="str">
        <f>IF(Tabela3[[#This Row],[Rok]]&gt;HoryzontInwestycyjny,"",IF(ZmianaWartościNieruchomości="Inflacyjnie",Inflacja,0))</f>
        <v/>
      </c>
      <c r="AE145" s="177" t="str">
        <f>IF(Tabela3[[#This Row],[Rok]]&gt;HoryzontInwestycyjny,"",StałyProcentZmianyWartościNieruchomości)</f>
        <v/>
      </c>
      <c r="AF145" s="178" t="str">
        <f>IF(Tabela3[[#This Row],[Rok]]&gt;HoryzontInwestycyjny,"",StałaKwotaZmianyWartościNieruchomości)</f>
        <v/>
      </c>
      <c r="AG145" s="155">
        <f>IF(Tabela3[[#This Row],[Rok]]&gt;HoryzontInwestycyjny,0,IF(ZmianaWartościNieruchomości="bez zmian",AG144,IF(ZmianaWartościNieruchomości="inflacyjnie",AG144*(1+Tabela3[[#This Row],[Inflacja3]]),IF(ZmianaWartościNieruchomości="stały %",AG144*(1+Tabela3[[#This Row],[Stały % zmiany warrtości]]),IF(ZmianaWartościNieruchomości="stała kwota",AG144+AF145,AG144)))))</f>
        <v>0</v>
      </c>
      <c r="AH145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45" s="177" cm="1">
        <f t="array" ref="AI145">Tabela3[[#This Row],[Wynik z najmu netto rocznie]]/IF(CzyKredyt="Tak",WydanaGotówka2,WydanaGotówka1)</f>
        <v>0</v>
      </c>
      <c r="AJ145" s="177" cm="1">
        <f t="array" ref="AJ145">Tabela3[[#This Row],[Wynik z najmu netto rocznie]]/IF(CzyKredyt="Tak",SumaKosztówPoczątkowychInwestycji,SumaKosztów)</f>
        <v>0</v>
      </c>
      <c r="AK145" s="155" cm="1">
        <f t="array" ref="AK145">IF(Tabela3[[#This Row],[Rok]]&gt;HoryzontInwestycyjny,0,-IF(CzyKredyt="Tak",WydanaGotówka2,WydanaGotówka1)+Tabela3[[#This Row],[Skumulowany wynik z najmu netto z najmu]])</f>
        <v>0</v>
      </c>
    </row>
    <row r="146" spans="3:37">
      <c r="C146" s="158">
        <v>93</v>
      </c>
      <c r="D146" s="152">
        <f t="shared" si="4"/>
        <v>0.02</v>
      </c>
      <c r="E146" s="152">
        <f t="shared" si="5"/>
        <v>0.04</v>
      </c>
      <c r="F146" s="167">
        <f t="shared" si="6"/>
        <v>150</v>
      </c>
      <c r="G146" s="151">
        <f>IF(Tabela3[[#This Row],[Rok]]&gt;HoryzontInwestycyjny,0,IF(ZmianaOdstępnego="bez zmian",G145,IF(ZmianaOdstępnego="inflacyjnie",G145*(1+Wyniki2!$D146),IF(ZmianaOdstępnego="stały %",G145*(1+Wyniki2!$E146),IF(ZmianaOdstępnego="stała kwota",G145+Wyniki2!$F146,)))))</f>
        <v>0</v>
      </c>
      <c r="H146" s="165">
        <f>IF(Tabela3[[#This Row],[Rok]]&gt;HoryzontInwestycyjny,0,MAX(0, MiesiąceNajmu - MAX(0, MAX(IFERROR(IF(MOD($C146, MałyRemont) = 0,Czas_MałyRemont, 0),0),IFERROR(IF(MOD($C146,DużyRemont) = 0,Czas_DużyRemont, 0),0)) - (12 -MiesiąceNajmu))))</f>
        <v>0</v>
      </c>
      <c r="I146" s="166">
        <f t="shared" si="8"/>
        <v>0</v>
      </c>
      <c r="J146" s="152" t="str">
        <f>IF(Tabela3[[#This Row],[Rok]]&gt;HoryzontInwestycyjny,"",IF(ZmianaKosztów="TAK",Inflacja,0))</f>
        <v/>
      </c>
      <c r="K146" s="155"/>
      <c r="L146" s="155"/>
      <c r="M146" s="155"/>
      <c r="N146" s="171" cm="1">
        <f t="array" ref="N146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46" s="171" cm="1">
        <f t="array" ref="O146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46" s="155" cm="1">
        <f t="array" ref="P146">IF(Tabela3[[#This Row],[Rok]]&gt;HoryzontInwestycyjny,0,IF(12-Tabela3[[#This Row],[Liczba wynajętych miesięcy w roku]]&gt;0, (12-Tabela3[[#This Row],[Liczba wynajętych miesięcy w roku]]) *CzynszWspólnoty* IF(ZmianaKosztów="Tak", PRODUCT(1+J$54:INDEX($J$54:J146, ROWS($D$54:D146)-1)), 1), 0))</f>
        <v>0</v>
      </c>
      <c r="Q146" s="170">
        <f>IF(Tabela3[[#This Row],[Rok]]&gt;HoryzontInwestycyjny,0,SUMIF(Kredyt!$E:$E,Tabela3[[#This Row],[Rok]],Kredyt!$I:$I))</f>
        <v>0</v>
      </c>
      <c r="R146" s="171">
        <f>IF(Tabela3[[#This Row],[Rok]]&gt;HoryzontInwestycyjny,0,SUMIF(Kredyt!$E:$E,Tabela3[[#This Row],[Rok]],Kredyt!$J:$J))</f>
        <v>0</v>
      </c>
      <c r="S146" s="155">
        <f>Tabela3[[#This Row],[Rata kredytu: odsetki]]+Tabela3[[#This Row],[Rata kredytu: kapitał]]</f>
        <v>0</v>
      </c>
      <c r="T146" s="169" cm="1">
        <f t="array" ref="T146">IF(Tabela3[[#This Row],[Rok]]&gt;HoryzontInwestycyjny,0,IFERROR(INDEX(Kredyt!$M:$M,11+Tabela3[[#This Row],[Rok]]*12) * UbezŻyć,""))</f>
        <v>0</v>
      </c>
      <c r="U146" s="155" cm="1">
        <f t="array" ref="U146">IF(Tabela3[[#This Row],[Rok]]&gt;HoryzontInwestycyjny,0,IF(CzasKredytu&gt;=Tabela3[[#This Row],[Rok]],IF(ZmianaKosztów="Tak",UbezMiesz* PRODUCT(1+J146:J146), UbezMiesz),""))</f>
        <v>0</v>
      </c>
      <c r="V146" s="155" cm="1">
        <f t="array" ref="V146">IF(Tabela3[[#This Row],[Rok]]&gt;HoryzontInwestycyjny,0,IF(ZmianaKosztów="Tak", PodatekOdNieruchomości * PRODUCT(1+J$54:J145), PodNie))</f>
        <v>0</v>
      </c>
      <c r="W146" s="155">
        <f>KosztyZarządzania*Tabela3[[#This Row],[Przychody z wynajmu]]</f>
        <v>0</v>
      </c>
      <c r="X146" s="155" cm="1">
        <f t="array" ref="X146">IF(Tabela3[[#This Row],[Rok]]&gt;HoryzontInwestycyjny,0,IF(ZmianaKosztów="Tak", InneKosztyRocznie* PRODUCT(1+J$55:J146), InneKosztyRocznie))</f>
        <v>0</v>
      </c>
      <c r="Y146" s="155">
        <f>SUM(Tabela3[[#This Row],[Cena mieszkania + remont początkowy]:[Inne koszty]])-Tabela3[[#This Row],[Rata kredytu]]</f>
        <v>0</v>
      </c>
      <c r="Z146" s="155">
        <f>IF(Tabela3[[#This Row],[Przychody z wynajmu]]&lt;=100000, Tabela3[[#This Row],[Przychody z wynajmu]]*MałyPodatek, 100000*MałyPodatek + (Tabela3[[#This Row],[Przychody z wynajmu]]-100000)*DużyPodatek)</f>
        <v>0</v>
      </c>
      <c r="AA146" s="155">
        <f>Tabela3[[#This Row],[Wydatki związane z najmem całkowite]]+Tabela3[[#This Row],[Podatek od przychodu]]</f>
        <v>0</v>
      </c>
      <c r="AB146" s="155">
        <f>IF(Tabela3[[#This Row],[Rok]]&gt;HoryzontInwestycyjny,0,Tabela3[[#This Row],[Przychody z wynajmu]]-Tabela3[[#This Row],[Wydatki związane z najmem całkowite]]-Tabela3[[#This Row],[Podatek od przychodu]])</f>
        <v>0</v>
      </c>
      <c r="AC146" s="155">
        <f>IF(Tabela3[[#This Row],[Rok]]&gt;HoryzontInwestycyjny,0,AC145+Tabela3[[#This Row],[Wynik z najmu netto rocznie]])</f>
        <v>0</v>
      </c>
      <c r="AD146" s="176" t="str">
        <f>IF(Tabela3[[#This Row],[Rok]]&gt;HoryzontInwestycyjny,"",IF(ZmianaWartościNieruchomości="Inflacyjnie",Inflacja,0))</f>
        <v/>
      </c>
      <c r="AE146" s="177" t="str">
        <f>IF(Tabela3[[#This Row],[Rok]]&gt;HoryzontInwestycyjny,"",StałyProcentZmianyWartościNieruchomości)</f>
        <v/>
      </c>
      <c r="AF146" s="178" t="str">
        <f>IF(Tabela3[[#This Row],[Rok]]&gt;HoryzontInwestycyjny,"",StałaKwotaZmianyWartościNieruchomości)</f>
        <v/>
      </c>
      <c r="AG146" s="155">
        <f>IF(Tabela3[[#This Row],[Rok]]&gt;HoryzontInwestycyjny,0,IF(ZmianaWartościNieruchomości="bez zmian",AG145,IF(ZmianaWartościNieruchomości="inflacyjnie",AG145*(1+Tabela3[[#This Row],[Inflacja3]]),IF(ZmianaWartościNieruchomości="stały %",AG145*(1+Tabela3[[#This Row],[Stały % zmiany warrtości]]),IF(ZmianaWartościNieruchomości="stała kwota",AG145+AF146,AG145)))))</f>
        <v>0</v>
      </c>
      <c r="AH146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46" s="177" cm="1">
        <f t="array" ref="AI146">Tabela3[[#This Row],[Wynik z najmu netto rocznie]]/IF(CzyKredyt="Tak",WydanaGotówka2,WydanaGotówka1)</f>
        <v>0</v>
      </c>
      <c r="AJ146" s="177" cm="1">
        <f t="array" ref="AJ146">Tabela3[[#This Row],[Wynik z najmu netto rocznie]]/IF(CzyKredyt="Tak",SumaKosztówPoczątkowychInwestycji,SumaKosztów)</f>
        <v>0</v>
      </c>
      <c r="AK146" s="155" cm="1">
        <f t="array" ref="AK146">IF(Tabela3[[#This Row],[Rok]]&gt;HoryzontInwestycyjny,0,-IF(CzyKredyt="Tak",WydanaGotówka2,WydanaGotówka1)+Tabela3[[#This Row],[Skumulowany wynik z najmu netto z najmu]])</f>
        <v>0</v>
      </c>
    </row>
    <row r="147" spans="3:37">
      <c r="C147" s="168">
        <v>94</v>
      </c>
      <c r="D147" s="152">
        <f t="shared" si="4"/>
        <v>0.02</v>
      </c>
      <c r="E147" s="152">
        <f t="shared" si="5"/>
        <v>0.04</v>
      </c>
      <c r="F147" s="167">
        <f t="shared" si="6"/>
        <v>150</v>
      </c>
      <c r="G147" s="151">
        <f>IF(Tabela3[[#This Row],[Rok]]&gt;HoryzontInwestycyjny,0,IF(ZmianaOdstępnego="bez zmian",G146,IF(ZmianaOdstępnego="inflacyjnie",G146*(1+Wyniki2!$D147),IF(ZmianaOdstępnego="stały %",G146*(1+Wyniki2!$E147),IF(ZmianaOdstępnego="stała kwota",G146+Wyniki2!$F147,)))))</f>
        <v>0</v>
      </c>
      <c r="H147" s="165">
        <f>IF(Tabela3[[#This Row],[Rok]]&gt;HoryzontInwestycyjny,0,MAX(0, MiesiąceNajmu - MAX(0, MAX(IFERROR(IF(MOD($C147, MałyRemont) = 0,Czas_MałyRemont, 0),0),IFERROR(IF(MOD($C147,DużyRemont) = 0,Czas_DużyRemont, 0),0)) - (12 -MiesiąceNajmu))))</f>
        <v>0</v>
      </c>
      <c r="I147" s="166">
        <f t="shared" si="8"/>
        <v>0</v>
      </c>
      <c r="J147" s="152" t="str">
        <f>IF(Tabela3[[#This Row],[Rok]]&gt;HoryzontInwestycyjny,"",IF(ZmianaKosztów="TAK",Inflacja,0))</f>
        <v/>
      </c>
      <c r="K147" s="172"/>
      <c r="L147" s="172"/>
      <c r="M147" s="172"/>
      <c r="N147" s="171" cm="1">
        <f t="array" ref="N147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47" s="171" cm="1">
        <f t="array" ref="O147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47" s="155" cm="1">
        <f t="array" ref="P147">IF(Tabela3[[#This Row],[Rok]]&gt;HoryzontInwestycyjny,0,IF(12-Tabela3[[#This Row],[Liczba wynajętych miesięcy w roku]]&gt;0, (12-Tabela3[[#This Row],[Liczba wynajętych miesięcy w roku]]) *CzynszWspólnoty* IF(ZmianaKosztów="Tak", PRODUCT(1+J$54:INDEX($J$54:J147, ROWS($D$54:D147)-1)), 1), 0))</f>
        <v>0</v>
      </c>
      <c r="Q147" s="170">
        <f>IF(Tabela3[[#This Row],[Rok]]&gt;HoryzontInwestycyjny,0,SUMIF(Kredyt!$E:$E,Tabela3[[#This Row],[Rok]],Kredyt!$I:$I))</f>
        <v>0</v>
      </c>
      <c r="R147" s="171">
        <f>IF(Tabela3[[#This Row],[Rok]]&gt;HoryzontInwestycyjny,0,SUMIF(Kredyt!$E:$E,Tabela3[[#This Row],[Rok]],Kredyt!$J:$J))</f>
        <v>0</v>
      </c>
      <c r="S147" s="172">
        <f>Tabela3[[#This Row],[Rata kredytu: odsetki]]+Tabela3[[#This Row],[Rata kredytu: kapitał]]</f>
        <v>0</v>
      </c>
      <c r="T147" s="169" cm="1">
        <f t="array" ref="T147">IF(Tabela3[[#This Row],[Rok]]&gt;HoryzontInwestycyjny,0,IFERROR(INDEX(Kredyt!$M:$M,11+Tabela3[[#This Row],[Rok]]*12) * UbezŻyć,""))</f>
        <v>0</v>
      </c>
      <c r="U147" s="155" cm="1">
        <f t="array" ref="U147">IF(Tabela3[[#This Row],[Rok]]&gt;HoryzontInwestycyjny,0,IF(CzasKredytu&gt;=Tabela3[[#This Row],[Rok]],IF(ZmianaKosztów="Tak",UbezMiesz* PRODUCT(1+J147:J147), UbezMiesz),""))</f>
        <v>0</v>
      </c>
      <c r="V147" s="155" cm="1">
        <f t="array" ref="V147">IF(Tabela3[[#This Row],[Rok]]&gt;HoryzontInwestycyjny,0,IF(ZmianaKosztów="Tak", PodatekOdNieruchomości * PRODUCT(1+J$54:J146), PodNie))</f>
        <v>0</v>
      </c>
      <c r="W147" s="155">
        <f>KosztyZarządzania*Tabela3[[#This Row],[Przychody z wynajmu]]</f>
        <v>0</v>
      </c>
      <c r="X147" s="155" cm="1">
        <f t="array" ref="X147">IF(Tabela3[[#This Row],[Rok]]&gt;HoryzontInwestycyjny,0,IF(ZmianaKosztów="Tak", InneKosztyRocznie* PRODUCT(1+J$55:J147), InneKosztyRocznie))</f>
        <v>0</v>
      </c>
      <c r="Y147" s="155">
        <f>SUM(Tabela3[[#This Row],[Cena mieszkania + remont początkowy]:[Inne koszty]])-Tabela3[[#This Row],[Rata kredytu]]</f>
        <v>0</v>
      </c>
      <c r="Z147" s="155">
        <f>IF(Tabela3[[#This Row],[Przychody z wynajmu]]&lt;=100000, Tabela3[[#This Row],[Przychody z wynajmu]]*MałyPodatek, 100000*MałyPodatek + (Tabela3[[#This Row],[Przychody z wynajmu]]-100000)*DużyPodatek)</f>
        <v>0</v>
      </c>
      <c r="AA147" s="155">
        <f>Tabela3[[#This Row],[Wydatki związane z najmem całkowite]]+Tabela3[[#This Row],[Podatek od przychodu]]</f>
        <v>0</v>
      </c>
      <c r="AB147" s="155">
        <f>IF(Tabela3[[#This Row],[Rok]]&gt;HoryzontInwestycyjny,0,Tabela3[[#This Row],[Przychody z wynajmu]]-Tabela3[[#This Row],[Wydatki związane z najmem całkowite]]-Tabela3[[#This Row],[Podatek od przychodu]])</f>
        <v>0</v>
      </c>
      <c r="AC147" s="155">
        <f>IF(Tabela3[[#This Row],[Rok]]&gt;HoryzontInwestycyjny,0,AC146+Tabela3[[#This Row],[Wynik z najmu netto rocznie]])</f>
        <v>0</v>
      </c>
      <c r="AD147" s="176" t="str">
        <f>IF(Tabela3[[#This Row],[Rok]]&gt;HoryzontInwestycyjny,"",IF(ZmianaWartościNieruchomości="Inflacyjnie",Inflacja,0))</f>
        <v/>
      </c>
      <c r="AE147" s="177" t="str">
        <f>IF(Tabela3[[#This Row],[Rok]]&gt;HoryzontInwestycyjny,"",StałyProcentZmianyWartościNieruchomości)</f>
        <v/>
      </c>
      <c r="AF147" s="178" t="str">
        <f>IF(Tabela3[[#This Row],[Rok]]&gt;HoryzontInwestycyjny,"",StałaKwotaZmianyWartościNieruchomości)</f>
        <v/>
      </c>
      <c r="AG147" s="155">
        <f>IF(Tabela3[[#This Row],[Rok]]&gt;HoryzontInwestycyjny,0,IF(ZmianaWartościNieruchomości="bez zmian",AG146,IF(ZmianaWartościNieruchomości="inflacyjnie",AG146*(1+Tabela3[[#This Row],[Inflacja3]]),IF(ZmianaWartościNieruchomości="stały %",AG146*(1+Tabela3[[#This Row],[Stały % zmiany warrtości]]),IF(ZmianaWartościNieruchomości="stała kwota",AG146+AF147,AG146)))))</f>
        <v>0</v>
      </c>
      <c r="AH147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47" s="177" cm="1">
        <f t="array" ref="AI147">Tabela3[[#This Row],[Wynik z najmu netto rocznie]]/IF(CzyKredyt="Tak",WydanaGotówka2,WydanaGotówka1)</f>
        <v>0</v>
      </c>
      <c r="AJ147" s="177" cm="1">
        <f t="array" ref="AJ147">Tabela3[[#This Row],[Wynik z najmu netto rocznie]]/IF(CzyKredyt="Tak",SumaKosztówPoczątkowychInwestycji,SumaKosztów)</f>
        <v>0</v>
      </c>
      <c r="AK147" s="155" cm="1">
        <f t="array" ref="AK147">IF(Tabela3[[#This Row],[Rok]]&gt;HoryzontInwestycyjny,0,-IF(CzyKredyt="Tak",WydanaGotówka2,WydanaGotówka1)+Tabela3[[#This Row],[Skumulowany wynik z najmu netto z najmu]])</f>
        <v>0</v>
      </c>
    </row>
    <row r="148" spans="3:37">
      <c r="C148" s="158">
        <v>95</v>
      </c>
      <c r="D148" s="152">
        <f t="shared" si="4"/>
        <v>0.02</v>
      </c>
      <c r="E148" s="152">
        <f t="shared" si="5"/>
        <v>0.04</v>
      </c>
      <c r="F148" s="167">
        <f t="shared" si="6"/>
        <v>150</v>
      </c>
      <c r="G148" s="151">
        <f>IF(Tabela3[[#This Row],[Rok]]&gt;HoryzontInwestycyjny,0,IF(ZmianaOdstępnego="bez zmian",G147,IF(ZmianaOdstępnego="inflacyjnie",G147*(1+Wyniki2!$D148),IF(ZmianaOdstępnego="stały %",G147*(1+Wyniki2!$E148),IF(ZmianaOdstępnego="stała kwota",G147+Wyniki2!$F148,)))))</f>
        <v>0</v>
      </c>
      <c r="H148" s="165">
        <f>IF(Tabela3[[#This Row],[Rok]]&gt;HoryzontInwestycyjny,0,MAX(0, MiesiąceNajmu - MAX(0, MAX(IFERROR(IF(MOD($C148, MałyRemont) = 0,Czas_MałyRemont, 0),0),IFERROR(IF(MOD($C148,DużyRemont) = 0,Czas_DużyRemont, 0),0)) - (12 -MiesiąceNajmu))))</f>
        <v>0</v>
      </c>
      <c r="I148" s="166">
        <f t="shared" si="8"/>
        <v>0</v>
      </c>
      <c r="J148" s="152" t="str">
        <f>IF(Tabela3[[#This Row],[Rok]]&gt;HoryzontInwestycyjny,"",IF(ZmianaKosztów="TAK",Inflacja,0))</f>
        <v/>
      </c>
      <c r="K148" s="155"/>
      <c r="L148" s="155"/>
      <c r="M148" s="155"/>
      <c r="N148" s="171" cm="1">
        <f t="array" ref="N148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48" s="171" cm="1">
        <f t="array" ref="O148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48" s="155" cm="1">
        <f t="array" ref="P148">IF(Tabela3[[#This Row],[Rok]]&gt;HoryzontInwestycyjny,0,IF(12-Tabela3[[#This Row],[Liczba wynajętych miesięcy w roku]]&gt;0, (12-Tabela3[[#This Row],[Liczba wynajętych miesięcy w roku]]) *CzynszWspólnoty* IF(ZmianaKosztów="Tak", PRODUCT(1+J$54:INDEX($J$54:J148, ROWS($D$54:D148)-1)), 1), 0))</f>
        <v>0</v>
      </c>
      <c r="Q148" s="170">
        <f>IF(Tabela3[[#This Row],[Rok]]&gt;HoryzontInwestycyjny,0,SUMIF(Kredyt!$E:$E,Tabela3[[#This Row],[Rok]],Kredyt!$I:$I))</f>
        <v>0</v>
      </c>
      <c r="R148" s="171">
        <f>IF(Tabela3[[#This Row],[Rok]]&gt;HoryzontInwestycyjny,0,SUMIF(Kredyt!$E:$E,Tabela3[[#This Row],[Rok]],Kredyt!$J:$J))</f>
        <v>0</v>
      </c>
      <c r="S148" s="155">
        <f>Tabela3[[#This Row],[Rata kredytu: odsetki]]+Tabela3[[#This Row],[Rata kredytu: kapitał]]</f>
        <v>0</v>
      </c>
      <c r="T148" s="169" cm="1">
        <f t="array" ref="T148">IF(Tabela3[[#This Row],[Rok]]&gt;HoryzontInwestycyjny,0,IFERROR(INDEX(Kredyt!$M:$M,11+Tabela3[[#This Row],[Rok]]*12) * UbezŻyć,""))</f>
        <v>0</v>
      </c>
      <c r="U148" s="155" cm="1">
        <f t="array" ref="U148">IF(Tabela3[[#This Row],[Rok]]&gt;HoryzontInwestycyjny,0,IF(CzasKredytu&gt;=Tabela3[[#This Row],[Rok]],IF(ZmianaKosztów="Tak",UbezMiesz* PRODUCT(1+J148:J148), UbezMiesz),""))</f>
        <v>0</v>
      </c>
      <c r="V148" s="155" cm="1">
        <f t="array" ref="V148">IF(Tabela3[[#This Row],[Rok]]&gt;HoryzontInwestycyjny,0,IF(ZmianaKosztów="Tak", PodatekOdNieruchomości * PRODUCT(1+J$54:J147), PodNie))</f>
        <v>0</v>
      </c>
      <c r="W148" s="155">
        <f>KosztyZarządzania*Tabela3[[#This Row],[Przychody z wynajmu]]</f>
        <v>0</v>
      </c>
      <c r="X148" s="155" cm="1">
        <f t="array" ref="X148">IF(Tabela3[[#This Row],[Rok]]&gt;HoryzontInwestycyjny,0,IF(ZmianaKosztów="Tak", InneKosztyRocznie* PRODUCT(1+J$55:J148), InneKosztyRocznie))</f>
        <v>0</v>
      </c>
      <c r="Y148" s="155">
        <f>SUM(Tabela3[[#This Row],[Cena mieszkania + remont początkowy]:[Inne koszty]])-Tabela3[[#This Row],[Rata kredytu]]</f>
        <v>0</v>
      </c>
      <c r="Z148" s="155">
        <f>IF(Tabela3[[#This Row],[Przychody z wynajmu]]&lt;=100000, Tabela3[[#This Row],[Przychody z wynajmu]]*MałyPodatek, 100000*MałyPodatek + (Tabela3[[#This Row],[Przychody z wynajmu]]-100000)*DużyPodatek)</f>
        <v>0</v>
      </c>
      <c r="AA148" s="155">
        <f>Tabela3[[#This Row],[Wydatki związane z najmem całkowite]]+Tabela3[[#This Row],[Podatek od przychodu]]</f>
        <v>0</v>
      </c>
      <c r="AB148" s="155">
        <f>IF(Tabela3[[#This Row],[Rok]]&gt;HoryzontInwestycyjny,0,Tabela3[[#This Row],[Przychody z wynajmu]]-Tabela3[[#This Row],[Wydatki związane z najmem całkowite]]-Tabela3[[#This Row],[Podatek od przychodu]])</f>
        <v>0</v>
      </c>
      <c r="AC148" s="155">
        <f>IF(Tabela3[[#This Row],[Rok]]&gt;HoryzontInwestycyjny,0,AC147+Tabela3[[#This Row],[Wynik z najmu netto rocznie]])</f>
        <v>0</v>
      </c>
      <c r="AD148" s="176" t="str">
        <f>IF(Tabela3[[#This Row],[Rok]]&gt;HoryzontInwestycyjny,"",IF(ZmianaWartościNieruchomości="Inflacyjnie",Inflacja,0))</f>
        <v/>
      </c>
      <c r="AE148" s="177" t="str">
        <f>IF(Tabela3[[#This Row],[Rok]]&gt;HoryzontInwestycyjny,"",StałyProcentZmianyWartościNieruchomości)</f>
        <v/>
      </c>
      <c r="AF148" s="178" t="str">
        <f>IF(Tabela3[[#This Row],[Rok]]&gt;HoryzontInwestycyjny,"",StałaKwotaZmianyWartościNieruchomości)</f>
        <v/>
      </c>
      <c r="AG148" s="155">
        <f>IF(Tabela3[[#This Row],[Rok]]&gt;HoryzontInwestycyjny,0,IF(ZmianaWartościNieruchomości="bez zmian",AG147,IF(ZmianaWartościNieruchomości="inflacyjnie",AG147*(1+Tabela3[[#This Row],[Inflacja3]]),IF(ZmianaWartościNieruchomości="stały %",AG147*(1+Tabela3[[#This Row],[Stały % zmiany warrtości]]),IF(ZmianaWartościNieruchomości="stała kwota",AG147+AF148,AG147)))))</f>
        <v>0</v>
      </c>
      <c r="AH148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48" s="177" cm="1">
        <f t="array" ref="AI148">Tabela3[[#This Row],[Wynik z najmu netto rocznie]]/IF(CzyKredyt="Tak",WydanaGotówka2,WydanaGotówka1)</f>
        <v>0</v>
      </c>
      <c r="AJ148" s="177" cm="1">
        <f t="array" ref="AJ148">Tabela3[[#This Row],[Wynik z najmu netto rocznie]]/IF(CzyKredyt="Tak",SumaKosztówPoczątkowychInwestycji,SumaKosztów)</f>
        <v>0</v>
      </c>
      <c r="AK148" s="155" cm="1">
        <f t="array" ref="AK148">IF(Tabela3[[#This Row],[Rok]]&gt;HoryzontInwestycyjny,0,-IF(CzyKredyt="Tak",WydanaGotówka2,WydanaGotówka1)+Tabela3[[#This Row],[Skumulowany wynik z najmu netto z najmu]])</f>
        <v>0</v>
      </c>
    </row>
    <row r="149" spans="3:37">
      <c r="C149" s="168">
        <v>96</v>
      </c>
      <c r="D149" s="152">
        <f t="shared" si="4"/>
        <v>0.02</v>
      </c>
      <c r="E149" s="152">
        <f t="shared" si="5"/>
        <v>0.04</v>
      </c>
      <c r="F149" s="167">
        <f t="shared" si="6"/>
        <v>150</v>
      </c>
      <c r="G149" s="151">
        <f>IF(Tabela3[[#This Row],[Rok]]&gt;HoryzontInwestycyjny,0,IF(ZmianaOdstępnego="bez zmian",G148,IF(ZmianaOdstępnego="inflacyjnie",G148*(1+Wyniki2!$D149),IF(ZmianaOdstępnego="stały %",G148*(1+Wyniki2!$E149),IF(ZmianaOdstępnego="stała kwota",G148+Wyniki2!$F149,)))))</f>
        <v>0</v>
      </c>
      <c r="H149" s="165">
        <f>IF(Tabela3[[#This Row],[Rok]]&gt;HoryzontInwestycyjny,0,MAX(0, MiesiąceNajmu - MAX(0, MAX(IFERROR(IF(MOD($C149, MałyRemont) = 0,Czas_MałyRemont, 0),0),IFERROR(IF(MOD($C149,DużyRemont) = 0,Czas_DużyRemont, 0),0)) - (12 -MiesiąceNajmu))))</f>
        <v>0</v>
      </c>
      <c r="I149" s="166">
        <f t="shared" si="8"/>
        <v>0</v>
      </c>
      <c r="J149" s="152" t="str">
        <f>IF(Tabela3[[#This Row],[Rok]]&gt;HoryzontInwestycyjny,"",IF(ZmianaKosztów="TAK",Inflacja,0))</f>
        <v/>
      </c>
      <c r="K149" s="172"/>
      <c r="L149" s="172"/>
      <c r="M149" s="172"/>
      <c r="N149" s="171" cm="1">
        <f t="array" ref="N149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49" s="171" cm="1">
        <f t="array" ref="O149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49" s="155" cm="1">
        <f t="array" ref="P149">IF(Tabela3[[#This Row],[Rok]]&gt;HoryzontInwestycyjny,0,IF(12-Tabela3[[#This Row],[Liczba wynajętych miesięcy w roku]]&gt;0, (12-Tabela3[[#This Row],[Liczba wynajętych miesięcy w roku]]) *CzynszWspólnoty* IF(ZmianaKosztów="Tak", PRODUCT(1+J$54:INDEX($J$54:J149, ROWS($D$54:D149)-1)), 1), 0))</f>
        <v>0</v>
      </c>
      <c r="Q149" s="170">
        <f>IF(Tabela3[[#This Row],[Rok]]&gt;HoryzontInwestycyjny,0,SUMIF(Kredyt!$E:$E,Tabela3[[#This Row],[Rok]],Kredyt!$I:$I))</f>
        <v>0</v>
      </c>
      <c r="R149" s="171">
        <f>IF(Tabela3[[#This Row],[Rok]]&gt;HoryzontInwestycyjny,0,SUMIF(Kredyt!$E:$E,Tabela3[[#This Row],[Rok]],Kredyt!$J:$J))</f>
        <v>0</v>
      </c>
      <c r="S149" s="172">
        <f>Tabela3[[#This Row],[Rata kredytu: odsetki]]+Tabela3[[#This Row],[Rata kredytu: kapitał]]</f>
        <v>0</v>
      </c>
      <c r="T149" s="169" cm="1">
        <f t="array" ref="T149">IF(Tabela3[[#This Row],[Rok]]&gt;HoryzontInwestycyjny,0,IFERROR(INDEX(Kredyt!$M:$M,11+Tabela3[[#This Row],[Rok]]*12) * UbezŻyć,""))</f>
        <v>0</v>
      </c>
      <c r="U149" s="155" cm="1">
        <f t="array" ref="U149">IF(Tabela3[[#This Row],[Rok]]&gt;HoryzontInwestycyjny,0,IF(CzasKredytu&gt;=Tabela3[[#This Row],[Rok]],IF(ZmianaKosztów="Tak",UbezMiesz* PRODUCT(1+J149:J149), UbezMiesz),""))</f>
        <v>0</v>
      </c>
      <c r="V149" s="155" cm="1">
        <f t="array" ref="V149">IF(Tabela3[[#This Row],[Rok]]&gt;HoryzontInwestycyjny,0,IF(ZmianaKosztów="Tak", PodatekOdNieruchomości * PRODUCT(1+J$54:J148), PodNie))</f>
        <v>0</v>
      </c>
      <c r="W149" s="155">
        <f>KosztyZarządzania*Tabela3[[#This Row],[Przychody z wynajmu]]</f>
        <v>0</v>
      </c>
      <c r="X149" s="155" cm="1">
        <f t="array" ref="X149">IF(Tabela3[[#This Row],[Rok]]&gt;HoryzontInwestycyjny,0,IF(ZmianaKosztów="Tak", InneKosztyRocznie* PRODUCT(1+J$55:J149), InneKosztyRocznie))</f>
        <v>0</v>
      </c>
      <c r="Y149" s="155">
        <f>SUM(Tabela3[[#This Row],[Cena mieszkania + remont początkowy]:[Inne koszty]])-Tabela3[[#This Row],[Rata kredytu]]</f>
        <v>0</v>
      </c>
      <c r="Z149" s="155">
        <f>IF(Tabela3[[#This Row],[Przychody z wynajmu]]&lt;=100000, Tabela3[[#This Row],[Przychody z wynajmu]]*MałyPodatek, 100000*MałyPodatek + (Tabela3[[#This Row],[Przychody z wynajmu]]-100000)*DużyPodatek)</f>
        <v>0</v>
      </c>
      <c r="AA149" s="155">
        <f>Tabela3[[#This Row],[Wydatki związane z najmem całkowite]]+Tabela3[[#This Row],[Podatek od przychodu]]</f>
        <v>0</v>
      </c>
      <c r="AB149" s="155">
        <f>IF(Tabela3[[#This Row],[Rok]]&gt;HoryzontInwestycyjny,0,Tabela3[[#This Row],[Przychody z wynajmu]]-Tabela3[[#This Row],[Wydatki związane z najmem całkowite]]-Tabela3[[#This Row],[Podatek od przychodu]])</f>
        <v>0</v>
      </c>
      <c r="AC149" s="155">
        <f>IF(Tabela3[[#This Row],[Rok]]&gt;HoryzontInwestycyjny,0,AC148+Tabela3[[#This Row],[Wynik z najmu netto rocznie]])</f>
        <v>0</v>
      </c>
      <c r="AD149" s="176" t="str">
        <f>IF(Tabela3[[#This Row],[Rok]]&gt;HoryzontInwestycyjny,"",IF(ZmianaWartościNieruchomości="Inflacyjnie",Inflacja,0))</f>
        <v/>
      </c>
      <c r="AE149" s="177" t="str">
        <f>IF(Tabela3[[#This Row],[Rok]]&gt;HoryzontInwestycyjny,"",StałyProcentZmianyWartościNieruchomości)</f>
        <v/>
      </c>
      <c r="AF149" s="178" t="str">
        <f>IF(Tabela3[[#This Row],[Rok]]&gt;HoryzontInwestycyjny,"",StałaKwotaZmianyWartościNieruchomości)</f>
        <v/>
      </c>
      <c r="AG149" s="155">
        <f>IF(Tabela3[[#This Row],[Rok]]&gt;HoryzontInwestycyjny,0,IF(ZmianaWartościNieruchomości="bez zmian",AG148,IF(ZmianaWartościNieruchomości="inflacyjnie",AG148*(1+Tabela3[[#This Row],[Inflacja3]]),IF(ZmianaWartościNieruchomości="stały %",AG148*(1+Tabela3[[#This Row],[Stały % zmiany warrtości]]),IF(ZmianaWartościNieruchomości="stała kwota",AG148+AF149,AG148)))))</f>
        <v>0</v>
      </c>
      <c r="AH149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49" s="177" cm="1">
        <f t="array" ref="AI149">Tabela3[[#This Row],[Wynik z najmu netto rocznie]]/IF(CzyKredyt="Tak",WydanaGotówka2,WydanaGotówka1)</f>
        <v>0</v>
      </c>
      <c r="AJ149" s="177" cm="1">
        <f t="array" ref="AJ149">Tabela3[[#This Row],[Wynik z najmu netto rocznie]]/IF(CzyKredyt="Tak",SumaKosztówPoczątkowychInwestycji,SumaKosztów)</f>
        <v>0</v>
      </c>
      <c r="AK149" s="155" cm="1">
        <f t="array" ref="AK149">IF(Tabela3[[#This Row],[Rok]]&gt;HoryzontInwestycyjny,0,-IF(CzyKredyt="Tak",WydanaGotówka2,WydanaGotówka1)+Tabela3[[#This Row],[Skumulowany wynik z najmu netto z najmu]])</f>
        <v>0</v>
      </c>
    </row>
    <row r="150" spans="3:37">
      <c r="C150" s="158">
        <v>97</v>
      </c>
      <c r="D150" s="152">
        <f t="shared" si="4"/>
        <v>0.02</v>
      </c>
      <c r="E150" s="152">
        <f t="shared" si="5"/>
        <v>0.04</v>
      </c>
      <c r="F150" s="167">
        <f t="shared" si="6"/>
        <v>150</v>
      </c>
      <c r="G150" s="151">
        <f>IF(Tabela3[[#This Row],[Rok]]&gt;HoryzontInwestycyjny,0,IF(ZmianaOdstępnego="bez zmian",G149,IF(ZmianaOdstępnego="inflacyjnie",G149*(1+Wyniki2!$D150),IF(ZmianaOdstępnego="stały %",G149*(1+Wyniki2!$E150),IF(ZmianaOdstępnego="stała kwota",G149+Wyniki2!$F150,)))))</f>
        <v>0</v>
      </c>
      <c r="H150" s="165">
        <f>IF(Tabela3[[#This Row],[Rok]]&gt;HoryzontInwestycyjny,0,MAX(0, MiesiąceNajmu - MAX(0, MAX(IFERROR(IF(MOD($C150, MałyRemont) = 0,Czas_MałyRemont, 0),0),IFERROR(IF(MOD($C150,DużyRemont) = 0,Czas_DużyRemont, 0),0)) - (12 -MiesiąceNajmu))))</f>
        <v>0</v>
      </c>
      <c r="I150" s="166">
        <f t="shared" si="8"/>
        <v>0</v>
      </c>
      <c r="J150" s="152" t="str">
        <f>IF(Tabela3[[#This Row],[Rok]]&gt;HoryzontInwestycyjny,"",IF(ZmianaKosztów="TAK",Inflacja,0))</f>
        <v/>
      </c>
      <c r="K150" s="155"/>
      <c r="L150" s="155"/>
      <c r="M150" s="155"/>
      <c r="N150" s="171" cm="1">
        <f t="array" ref="N150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50" s="171" cm="1">
        <f t="array" ref="O150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50" s="155" cm="1">
        <f t="array" ref="P150">IF(Tabela3[[#This Row],[Rok]]&gt;HoryzontInwestycyjny,0,IF(12-Tabela3[[#This Row],[Liczba wynajętych miesięcy w roku]]&gt;0, (12-Tabela3[[#This Row],[Liczba wynajętych miesięcy w roku]]) *CzynszWspólnoty* IF(ZmianaKosztów="Tak", PRODUCT(1+J$54:INDEX($J$54:J150, ROWS($D$54:D150)-1)), 1), 0))</f>
        <v>0</v>
      </c>
      <c r="Q150" s="170">
        <f>IF(Tabela3[[#This Row],[Rok]]&gt;HoryzontInwestycyjny,0,SUMIF(Kredyt!$E:$E,Tabela3[[#This Row],[Rok]],Kredyt!$I:$I))</f>
        <v>0</v>
      </c>
      <c r="R150" s="171">
        <f>IF(Tabela3[[#This Row],[Rok]]&gt;HoryzontInwestycyjny,0,SUMIF(Kredyt!$E:$E,Tabela3[[#This Row],[Rok]],Kredyt!$J:$J))</f>
        <v>0</v>
      </c>
      <c r="S150" s="155">
        <f>Tabela3[[#This Row],[Rata kredytu: odsetki]]+Tabela3[[#This Row],[Rata kredytu: kapitał]]</f>
        <v>0</v>
      </c>
      <c r="T150" s="169" cm="1">
        <f t="array" ref="T150">IF(Tabela3[[#This Row],[Rok]]&gt;HoryzontInwestycyjny,0,IFERROR(INDEX(Kredyt!$M:$M,11+Tabela3[[#This Row],[Rok]]*12) * UbezŻyć,""))</f>
        <v>0</v>
      </c>
      <c r="U150" s="155" cm="1">
        <f t="array" ref="U150">IF(Tabela3[[#This Row],[Rok]]&gt;HoryzontInwestycyjny,0,IF(CzasKredytu&gt;=Tabela3[[#This Row],[Rok]],IF(ZmianaKosztów="Tak",UbezMiesz* PRODUCT(1+J150:J150), UbezMiesz),""))</f>
        <v>0</v>
      </c>
      <c r="V150" s="155" cm="1">
        <f t="array" ref="V150">IF(Tabela3[[#This Row],[Rok]]&gt;HoryzontInwestycyjny,0,IF(ZmianaKosztów="Tak", PodatekOdNieruchomości * PRODUCT(1+J$54:J149), PodNie))</f>
        <v>0</v>
      </c>
      <c r="W150" s="155">
        <f>KosztyZarządzania*Tabela3[[#This Row],[Przychody z wynajmu]]</f>
        <v>0</v>
      </c>
      <c r="X150" s="155" cm="1">
        <f t="array" ref="X150">IF(Tabela3[[#This Row],[Rok]]&gt;HoryzontInwestycyjny,0,IF(ZmianaKosztów="Tak", InneKosztyRocznie* PRODUCT(1+J$55:J150), InneKosztyRocznie))</f>
        <v>0</v>
      </c>
      <c r="Y150" s="155">
        <f>SUM(Tabela3[[#This Row],[Cena mieszkania + remont początkowy]:[Inne koszty]])-Tabela3[[#This Row],[Rata kredytu]]</f>
        <v>0</v>
      </c>
      <c r="Z150" s="155">
        <f>IF(Tabela3[[#This Row],[Przychody z wynajmu]]&lt;=100000, Tabela3[[#This Row],[Przychody z wynajmu]]*MałyPodatek, 100000*MałyPodatek + (Tabela3[[#This Row],[Przychody z wynajmu]]-100000)*DużyPodatek)</f>
        <v>0</v>
      </c>
      <c r="AA150" s="155">
        <f>Tabela3[[#This Row],[Wydatki związane z najmem całkowite]]+Tabela3[[#This Row],[Podatek od przychodu]]</f>
        <v>0</v>
      </c>
      <c r="AB150" s="155">
        <f>IF(Tabela3[[#This Row],[Rok]]&gt;HoryzontInwestycyjny,0,Tabela3[[#This Row],[Przychody z wynajmu]]-Tabela3[[#This Row],[Wydatki związane z najmem całkowite]]-Tabela3[[#This Row],[Podatek od przychodu]])</f>
        <v>0</v>
      </c>
      <c r="AC150" s="155">
        <f>IF(Tabela3[[#This Row],[Rok]]&gt;HoryzontInwestycyjny,0,AC149+Tabela3[[#This Row],[Wynik z najmu netto rocznie]])</f>
        <v>0</v>
      </c>
      <c r="AD150" s="176" t="str">
        <f>IF(Tabela3[[#This Row],[Rok]]&gt;HoryzontInwestycyjny,"",IF(ZmianaWartościNieruchomości="Inflacyjnie",Inflacja,0))</f>
        <v/>
      </c>
      <c r="AE150" s="177" t="str">
        <f>IF(Tabela3[[#This Row],[Rok]]&gt;HoryzontInwestycyjny,"",StałyProcentZmianyWartościNieruchomości)</f>
        <v/>
      </c>
      <c r="AF150" s="178" t="str">
        <f>IF(Tabela3[[#This Row],[Rok]]&gt;HoryzontInwestycyjny,"",StałaKwotaZmianyWartościNieruchomości)</f>
        <v/>
      </c>
      <c r="AG150" s="155">
        <f>IF(Tabela3[[#This Row],[Rok]]&gt;HoryzontInwestycyjny,0,IF(ZmianaWartościNieruchomości="bez zmian",AG149,IF(ZmianaWartościNieruchomości="inflacyjnie",AG149*(1+Tabela3[[#This Row],[Inflacja3]]),IF(ZmianaWartościNieruchomości="stały %",AG149*(1+Tabela3[[#This Row],[Stały % zmiany warrtości]]),IF(ZmianaWartościNieruchomości="stała kwota",AG149+AF150,AG149)))))</f>
        <v>0</v>
      </c>
      <c r="AH150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50" s="177" cm="1">
        <f t="array" ref="AI150">Tabela3[[#This Row],[Wynik z najmu netto rocznie]]/IF(CzyKredyt="Tak",WydanaGotówka2,WydanaGotówka1)</f>
        <v>0</v>
      </c>
      <c r="AJ150" s="177" cm="1">
        <f t="array" ref="AJ150">Tabela3[[#This Row],[Wynik z najmu netto rocznie]]/IF(CzyKredyt="Tak",SumaKosztówPoczątkowychInwestycji,SumaKosztów)</f>
        <v>0</v>
      </c>
      <c r="AK150" s="155" cm="1">
        <f t="array" ref="AK150">IF(Tabela3[[#This Row],[Rok]]&gt;HoryzontInwestycyjny,0,-IF(CzyKredyt="Tak",WydanaGotówka2,WydanaGotówka1)+Tabela3[[#This Row],[Skumulowany wynik z najmu netto z najmu]])</f>
        <v>0</v>
      </c>
    </row>
    <row r="151" spans="3:37">
      <c r="C151" s="168">
        <v>98</v>
      </c>
      <c r="D151" s="152">
        <f t="shared" si="4"/>
        <v>0.02</v>
      </c>
      <c r="E151" s="152">
        <f t="shared" si="5"/>
        <v>0.04</v>
      </c>
      <c r="F151" s="167">
        <f t="shared" si="6"/>
        <v>150</v>
      </c>
      <c r="G151" s="151">
        <f>IF(Tabela3[[#This Row],[Rok]]&gt;HoryzontInwestycyjny,0,IF(ZmianaOdstępnego="bez zmian",G150,IF(ZmianaOdstępnego="inflacyjnie",G150*(1+Wyniki2!$D151),IF(ZmianaOdstępnego="stały %",G150*(1+Wyniki2!$E151),IF(ZmianaOdstępnego="stała kwota",G150+Wyniki2!$F151,)))))</f>
        <v>0</v>
      </c>
      <c r="H151" s="165">
        <f>IF(Tabela3[[#This Row],[Rok]]&gt;HoryzontInwestycyjny,0,MAX(0, MiesiąceNajmu - MAX(0, MAX(IFERROR(IF(MOD($C151, MałyRemont) = 0,Czas_MałyRemont, 0),0),IFERROR(IF(MOD($C151,DużyRemont) = 0,Czas_DużyRemont, 0),0)) - (12 -MiesiąceNajmu))))</f>
        <v>0</v>
      </c>
      <c r="I151" s="166">
        <f t="shared" si="8"/>
        <v>0</v>
      </c>
      <c r="J151" s="152" t="str">
        <f>IF(Tabela3[[#This Row],[Rok]]&gt;HoryzontInwestycyjny,"",IF(ZmianaKosztów="TAK",Inflacja,0))</f>
        <v/>
      </c>
      <c r="K151" s="172"/>
      <c r="L151" s="172"/>
      <c r="M151" s="172"/>
      <c r="N151" s="171" cm="1">
        <f t="array" ref="N151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51" s="171" cm="1">
        <f t="array" ref="O151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51" s="155" cm="1">
        <f t="array" ref="P151">IF(Tabela3[[#This Row],[Rok]]&gt;HoryzontInwestycyjny,0,IF(12-Tabela3[[#This Row],[Liczba wynajętych miesięcy w roku]]&gt;0, (12-Tabela3[[#This Row],[Liczba wynajętych miesięcy w roku]]) *CzynszWspólnoty* IF(ZmianaKosztów="Tak", PRODUCT(1+J$54:INDEX($J$54:J151, ROWS($D$54:D151)-1)), 1), 0))</f>
        <v>0</v>
      </c>
      <c r="Q151" s="170">
        <f>IF(Tabela3[[#This Row],[Rok]]&gt;HoryzontInwestycyjny,0,SUMIF(Kredyt!$E:$E,Tabela3[[#This Row],[Rok]],Kredyt!$I:$I))</f>
        <v>0</v>
      </c>
      <c r="R151" s="171">
        <f>IF(Tabela3[[#This Row],[Rok]]&gt;HoryzontInwestycyjny,0,SUMIF(Kredyt!$E:$E,Tabela3[[#This Row],[Rok]],Kredyt!$J:$J))</f>
        <v>0</v>
      </c>
      <c r="S151" s="172">
        <f>Tabela3[[#This Row],[Rata kredytu: odsetki]]+Tabela3[[#This Row],[Rata kredytu: kapitał]]</f>
        <v>0</v>
      </c>
      <c r="T151" s="169" cm="1">
        <f t="array" ref="T151">IF(Tabela3[[#This Row],[Rok]]&gt;HoryzontInwestycyjny,0,IFERROR(INDEX(Kredyt!$M:$M,11+Tabela3[[#This Row],[Rok]]*12) * UbezŻyć,""))</f>
        <v>0</v>
      </c>
      <c r="U151" s="155" cm="1">
        <f t="array" ref="U151">IF(Tabela3[[#This Row],[Rok]]&gt;HoryzontInwestycyjny,0,IF(CzasKredytu&gt;=Tabela3[[#This Row],[Rok]],IF(ZmianaKosztów="Tak",UbezMiesz* PRODUCT(1+J151:J151), UbezMiesz),""))</f>
        <v>0</v>
      </c>
      <c r="V151" s="155" cm="1">
        <f t="array" ref="V151">IF(Tabela3[[#This Row],[Rok]]&gt;HoryzontInwestycyjny,0,IF(ZmianaKosztów="Tak", PodatekOdNieruchomości * PRODUCT(1+J$54:J150), PodNie))</f>
        <v>0</v>
      </c>
      <c r="W151" s="155">
        <f>KosztyZarządzania*Tabela3[[#This Row],[Przychody z wynajmu]]</f>
        <v>0</v>
      </c>
      <c r="X151" s="155" cm="1">
        <f t="array" ref="X151">IF(Tabela3[[#This Row],[Rok]]&gt;HoryzontInwestycyjny,0,IF(ZmianaKosztów="Tak", InneKosztyRocznie* PRODUCT(1+J$55:J151), InneKosztyRocznie))</f>
        <v>0</v>
      </c>
      <c r="Y151" s="155">
        <f>SUM(Tabela3[[#This Row],[Cena mieszkania + remont początkowy]:[Inne koszty]])-Tabela3[[#This Row],[Rata kredytu]]</f>
        <v>0</v>
      </c>
      <c r="Z151" s="155">
        <f>IF(Tabela3[[#This Row],[Przychody z wynajmu]]&lt;=100000, Tabela3[[#This Row],[Przychody z wynajmu]]*MałyPodatek, 100000*MałyPodatek + (Tabela3[[#This Row],[Przychody z wynajmu]]-100000)*DużyPodatek)</f>
        <v>0</v>
      </c>
      <c r="AA151" s="155">
        <f>Tabela3[[#This Row],[Wydatki związane z najmem całkowite]]+Tabela3[[#This Row],[Podatek od przychodu]]</f>
        <v>0</v>
      </c>
      <c r="AB151" s="155">
        <f>IF(Tabela3[[#This Row],[Rok]]&gt;HoryzontInwestycyjny,0,Tabela3[[#This Row],[Przychody z wynajmu]]-Tabela3[[#This Row],[Wydatki związane z najmem całkowite]]-Tabela3[[#This Row],[Podatek od przychodu]])</f>
        <v>0</v>
      </c>
      <c r="AC151" s="155">
        <f>IF(Tabela3[[#This Row],[Rok]]&gt;HoryzontInwestycyjny,0,AC150+Tabela3[[#This Row],[Wynik z najmu netto rocznie]])</f>
        <v>0</v>
      </c>
      <c r="AD151" s="176" t="str">
        <f>IF(Tabela3[[#This Row],[Rok]]&gt;HoryzontInwestycyjny,"",IF(ZmianaWartościNieruchomości="Inflacyjnie",Inflacja,0))</f>
        <v/>
      </c>
      <c r="AE151" s="177" t="str">
        <f>IF(Tabela3[[#This Row],[Rok]]&gt;HoryzontInwestycyjny,"",StałyProcentZmianyWartościNieruchomości)</f>
        <v/>
      </c>
      <c r="AF151" s="178" t="str">
        <f>IF(Tabela3[[#This Row],[Rok]]&gt;HoryzontInwestycyjny,"",StałaKwotaZmianyWartościNieruchomości)</f>
        <v/>
      </c>
      <c r="AG151" s="155">
        <f>IF(Tabela3[[#This Row],[Rok]]&gt;HoryzontInwestycyjny,0,IF(ZmianaWartościNieruchomości="bez zmian",AG150,IF(ZmianaWartościNieruchomości="inflacyjnie",AG150*(1+Tabela3[[#This Row],[Inflacja3]]),IF(ZmianaWartościNieruchomości="stały %",AG150*(1+Tabela3[[#This Row],[Stały % zmiany warrtości]]),IF(ZmianaWartościNieruchomości="stała kwota",AG150+AF151,AG150)))))</f>
        <v>0</v>
      </c>
      <c r="AH151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51" s="177" cm="1">
        <f t="array" ref="AI151">Tabela3[[#This Row],[Wynik z najmu netto rocznie]]/IF(CzyKredyt="Tak",WydanaGotówka2,WydanaGotówka1)</f>
        <v>0</v>
      </c>
      <c r="AJ151" s="177" cm="1">
        <f t="array" ref="AJ151">Tabela3[[#This Row],[Wynik z najmu netto rocznie]]/IF(CzyKredyt="Tak",SumaKosztówPoczątkowychInwestycji,SumaKosztów)</f>
        <v>0</v>
      </c>
      <c r="AK151" s="155" cm="1">
        <f t="array" ref="AK151">IF(Tabela3[[#This Row],[Rok]]&gt;HoryzontInwestycyjny,0,-IF(CzyKredyt="Tak",WydanaGotówka2,WydanaGotówka1)+Tabela3[[#This Row],[Skumulowany wynik z najmu netto z najmu]])</f>
        <v>0</v>
      </c>
    </row>
    <row r="152" spans="3:37">
      <c r="C152" s="158">
        <v>99</v>
      </c>
      <c r="D152" s="152">
        <f t="shared" si="4"/>
        <v>0.02</v>
      </c>
      <c r="E152" s="152">
        <f t="shared" si="5"/>
        <v>0.04</v>
      </c>
      <c r="F152" s="167">
        <f t="shared" si="6"/>
        <v>150</v>
      </c>
      <c r="G152" s="151">
        <f>IF(Tabela3[[#This Row],[Rok]]&gt;HoryzontInwestycyjny,0,IF(ZmianaOdstępnego="bez zmian",G151,IF(ZmianaOdstępnego="inflacyjnie",G151*(1+Wyniki2!$D152),IF(ZmianaOdstępnego="stały %",G151*(1+Wyniki2!$E152),IF(ZmianaOdstępnego="stała kwota",G151+Wyniki2!$F152,)))))</f>
        <v>0</v>
      </c>
      <c r="H152" s="165">
        <f>IF(Tabela3[[#This Row],[Rok]]&gt;HoryzontInwestycyjny,0,MAX(0, MiesiąceNajmu - MAX(0, MAX(IFERROR(IF(MOD($C152, MałyRemont) = 0,Czas_MałyRemont, 0),0),IFERROR(IF(MOD($C152,DużyRemont) = 0,Czas_DużyRemont, 0),0)) - (12 -MiesiąceNajmu))))</f>
        <v>0</v>
      </c>
      <c r="I152" s="166">
        <f t="shared" si="8"/>
        <v>0</v>
      </c>
      <c r="J152" s="152" t="str">
        <f>IF(Tabela3[[#This Row],[Rok]]&gt;HoryzontInwestycyjny,"",IF(ZmianaKosztów="TAK",Inflacja,0))</f>
        <v/>
      </c>
      <c r="K152" s="155"/>
      <c r="L152" s="155"/>
      <c r="M152" s="155"/>
      <c r="N152" s="171" cm="1">
        <f t="array" ref="N152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52" s="171" cm="1">
        <f t="array" ref="O152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52" s="155" cm="1">
        <f t="array" ref="P152">IF(Tabela3[[#This Row],[Rok]]&gt;HoryzontInwestycyjny,0,IF(12-Tabela3[[#This Row],[Liczba wynajętych miesięcy w roku]]&gt;0, (12-Tabela3[[#This Row],[Liczba wynajętych miesięcy w roku]]) *CzynszWspólnoty* IF(ZmianaKosztów="Tak", PRODUCT(1+J$54:INDEX($J$54:J152, ROWS($D$54:D152)-1)), 1), 0))</f>
        <v>0</v>
      </c>
      <c r="Q152" s="170">
        <f>IF(Tabela3[[#This Row],[Rok]]&gt;HoryzontInwestycyjny,0,SUMIF(Kredyt!$E:$E,Tabela3[[#This Row],[Rok]],Kredyt!$I:$I))</f>
        <v>0</v>
      </c>
      <c r="R152" s="171">
        <f>IF(Tabela3[[#This Row],[Rok]]&gt;HoryzontInwestycyjny,0,SUMIF(Kredyt!$E:$E,Tabela3[[#This Row],[Rok]],Kredyt!$J:$J))</f>
        <v>0</v>
      </c>
      <c r="S152" s="155">
        <f>Tabela3[[#This Row],[Rata kredytu: odsetki]]+Tabela3[[#This Row],[Rata kredytu: kapitał]]</f>
        <v>0</v>
      </c>
      <c r="T152" s="169" cm="1">
        <f t="array" ref="T152">IF(Tabela3[[#This Row],[Rok]]&gt;HoryzontInwestycyjny,0,IFERROR(INDEX(Kredyt!$M:$M,11+Tabela3[[#This Row],[Rok]]*12) * UbezŻyć,""))</f>
        <v>0</v>
      </c>
      <c r="U152" s="155" cm="1">
        <f t="array" ref="U152">IF(Tabela3[[#This Row],[Rok]]&gt;HoryzontInwestycyjny,0,IF(CzasKredytu&gt;=Tabela3[[#This Row],[Rok]],IF(ZmianaKosztów="Tak",UbezMiesz* PRODUCT(1+J152:J152), UbezMiesz),""))</f>
        <v>0</v>
      </c>
      <c r="V152" s="155" cm="1">
        <f t="array" ref="V152">IF(Tabela3[[#This Row],[Rok]]&gt;HoryzontInwestycyjny,0,IF(ZmianaKosztów="Tak", PodatekOdNieruchomości * PRODUCT(1+J$54:J151), PodNie))</f>
        <v>0</v>
      </c>
      <c r="W152" s="155">
        <f>KosztyZarządzania*Tabela3[[#This Row],[Przychody z wynajmu]]</f>
        <v>0</v>
      </c>
      <c r="X152" s="155" cm="1">
        <f t="array" ref="X152">IF(Tabela3[[#This Row],[Rok]]&gt;HoryzontInwestycyjny,0,IF(ZmianaKosztów="Tak", InneKosztyRocznie* PRODUCT(1+J$55:J152), InneKosztyRocznie))</f>
        <v>0</v>
      </c>
      <c r="Y152" s="155">
        <f>SUM(Tabela3[[#This Row],[Cena mieszkania + remont początkowy]:[Inne koszty]])-Tabela3[[#This Row],[Rata kredytu]]</f>
        <v>0</v>
      </c>
      <c r="Z152" s="155">
        <f>IF(Tabela3[[#This Row],[Przychody z wynajmu]]&lt;=100000, Tabela3[[#This Row],[Przychody z wynajmu]]*MałyPodatek, 100000*MałyPodatek + (Tabela3[[#This Row],[Przychody z wynajmu]]-100000)*DużyPodatek)</f>
        <v>0</v>
      </c>
      <c r="AA152" s="155">
        <f>Tabela3[[#This Row],[Wydatki związane z najmem całkowite]]+Tabela3[[#This Row],[Podatek od przychodu]]</f>
        <v>0</v>
      </c>
      <c r="AB152" s="155">
        <f>IF(Tabela3[[#This Row],[Rok]]&gt;HoryzontInwestycyjny,0,Tabela3[[#This Row],[Przychody z wynajmu]]-Tabela3[[#This Row],[Wydatki związane z najmem całkowite]]-Tabela3[[#This Row],[Podatek od przychodu]])</f>
        <v>0</v>
      </c>
      <c r="AC152" s="155">
        <f>IF(Tabela3[[#This Row],[Rok]]&gt;HoryzontInwestycyjny,0,AC151+Tabela3[[#This Row],[Wynik z najmu netto rocznie]])</f>
        <v>0</v>
      </c>
      <c r="AD152" s="176" t="str">
        <f>IF(Tabela3[[#This Row],[Rok]]&gt;HoryzontInwestycyjny,"",IF(ZmianaWartościNieruchomości="Inflacyjnie",Inflacja,0))</f>
        <v/>
      </c>
      <c r="AE152" s="177" t="str">
        <f>IF(Tabela3[[#This Row],[Rok]]&gt;HoryzontInwestycyjny,"",StałyProcentZmianyWartościNieruchomości)</f>
        <v/>
      </c>
      <c r="AF152" s="178" t="str">
        <f>IF(Tabela3[[#This Row],[Rok]]&gt;HoryzontInwestycyjny,"",StałaKwotaZmianyWartościNieruchomości)</f>
        <v/>
      </c>
      <c r="AG152" s="155">
        <f>IF(Tabela3[[#This Row],[Rok]]&gt;HoryzontInwestycyjny,0,IF(ZmianaWartościNieruchomości="bez zmian",AG151,IF(ZmianaWartościNieruchomości="inflacyjnie",AG151*(1+Tabela3[[#This Row],[Inflacja3]]),IF(ZmianaWartościNieruchomości="stały %",AG151*(1+Tabela3[[#This Row],[Stały % zmiany warrtości]]),IF(ZmianaWartościNieruchomości="stała kwota",AG151+AF152,AG151)))))</f>
        <v>0</v>
      </c>
      <c r="AH152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52" s="177" cm="1">
        <f t="array" ref="AI152">Tabela3[[#This Row],[Wynik z najmu netto rocznie]]/IF(CzyKredyt="Tak",WydanaGotówka2,WydanaGotówka1)</f>
        <v>0</v>
      </c>
      <c r="AJ152" s="177" cm="1">
        <f t="array" ref="AJ152">Tabela3[[#This Row],[Wynik z najmu netto rocznie]]/IF(CzyKredyt="Tak",SumaKosztówPoczątkowychInwestycji,SumaKosztów)</f>
        <v>0</v>
      </c>
      <c r="AK152" s="155" cm="1">
        <f t="array" ref="AK152">IF(Tabela3[[#This Row],[Rok]]&gt;HoryzontInwestycyjny,0,-IF(CzyKredyt="Tak",WydanaGotówka2,WydanaGotówka1)+Tabela3[[#This Row],[Skumulowany wynik z najmu netto z najmu]])</f>
        <v>0</v>
      </c>
    </row>
    <row r="153" spans="3:37">
      <c r="C153" s="168">
        <v>100</v>
      </c>
      <c r="D153" s="152">
        <f t="shared" si="4"/>
        <v>0.02</v>
      </c>
      <c r="E153" s="152">
        <f t="shared" si="5"/>
        <v>0.04</v>
      </c>
      <c r="F153" s="167">
        <f t="shared" si="6"/>
        <v>150</v>
      </c>
      <c r="G153" s="151">
        <f>IF(Tabela3[[#This Row],[Rok]]&gt;HoryzontInwestycyjny,0,IF(ZmianaOdstępnego="bez zmian",G152,IF(ZmianaOdstępnego="inflacyjnie",G152*(1+Wyniki2!$D153),IF(ZmianaOdstępnego="stały %",G152*(1+Wyniki2!$E153),IF(ZmianaOdstępnego="stała kwota",G152+Wyniki2!$F153,)))))</f>
        <v>0</v>
      </c>
      <c r="H153" s="165">
        <f>IF(Tabela3[[#This Row],[Rok]]&gt;HoryzontInwestycyjny,0,MAX(0, MiesiąceNajmu - MAX(0, MAX(IFERROR(IF(MOD($C153, MałyRemont) = 0,Czas_MałyRemont, 0),0),IFERROR(IF(MOD($C153,DużyRemont) = 0,Czas_DużyRemont, 0),0)) - (12 -MiesiąceNajmu))))</f>
        <v>0</v>
      </c>
      <c r="I153" s="166">
        <f t="shared" si="8"/>
        <v>0</v>
      </c>
      <c r="J153" s="152" t="str">
        <f>IF(Tabela3[[#This Row],[Rok]]&gt;HoryzontInwestycyjny,"",IF(ZmianaKosztów="TAK",Inflacja,0))</f>
        <v/>
      </c>
      <c r="K153" s="172"/>
      <c r="L153" s="172"/>
      <c r="M153" s="172"/>
      <c r="N153" s="171" cm="1">
        <f t="array" ref="N153">IF(Tabela3[[#This Row],[Rok]]&gt;HoryzontInwestycyjny,0,IF(OR(ISBLANK(MałyRemont),MałyRemont=0),0,IF(MOD(Tabela3[[#This Row],[Rok]],MałyRemont)=0,Kwota_MałyRemont*IF(ZmianaKosztów="Tak",PRODUCT(1+INDEX(InflacjaWKażdymRoku,1,1):INDEX(InflacjaWKażdymRoku,Tabela3[[#This Row],[Rok]],1)),1),0)))</f>
        <v>0</v>
      </c>
      <c r="O153" s="171" cm="1">
        <f t="array" ref="O153">IF(Tabela3[[#This Row],[Rok]]&gt;HoryzontInwestycyjny,0,IF(OR(ISBLANK(DużyRemont),DużyRemont=0),0,IF(MOD(Tabela3[[#This Row],[Rok]],DużyRemont)=0,Kwota_DużyRemont*IF(ZmianaKosztów="Tak",PRODUCT(1+INDEX(InflacjaWKażdymRoku,1,1):INDEX(InflacjaWKażdymRoku,Tabela3[[#This Row],[Rok]],1)),1),0)))</f>
        <v>0</v>
      </c>
      <c r="P153" s="155" cm="1">
        <f t="array" ref="P153">IF(Tabela3[[#This Row],[Rok]]&gt;HoryzontInwestycyjny,0,IF(12-Tabela3[[#This Row],[Liczba wynajętych miesięcy w roku]]&gt;0, (12-Tabela3[[#This Row],[Liczba wynajętych miesięcy w roku]]) *CzynszWspólnoty* IF(ZmianaKosztów="Tak", PRODUCT(1+J$54:INDEX($J$54:J153, ROWS($D$54:D153)-1)), 1), 0))</f>
        <v>0</v>
      </c>
      <c r="Q153" s="170">
        <f>IF(Tabela3[[#This Row],[Rok]]&gt;HoryzontInwestycyjny,0,SUMIF(Kredyt!$E:$E,Tabela3[[#This Row],[Rok]],Kredyt!$I:$I))</f>
        <v>0</v>
      </c>
      <c r="R153" s="171">
        <f>IF(Tabela3[[#This Row],[Rok]]&gt;HoryzontInwestycyjny,0,SUMIF(Kredyt!$E:$E,Tabela3[[#This Row],[Rok]],Kredyt!$J:$J))</f>
        <v>0</v>
      </c>
      <c r="S153" s="172">
        <f>Tabela3[[#This Row],[Rata kredytu: odsetki]]+Tabela3[[#This Row],[Rata kredytu: kapitał]]</f>
        <v>0</v>
      </c>
      <c r="T153" s="169" cm="1">
        <f t="array" ref="T153">IF(Tabela3[[#This Row],[Rok]]&gt;HoryzontInwestycyjny,0,IFERROR(INDEX(Kredyt!$M:$M,11+Tabela3[[#This Row],[Rok]]*12) * UbezŻyć,""))</f>
        <v>0</v>
      </c>
      <c r="U153" s="155" cm="1">
        <f t="array" ref="U153">IF(Tabela3[[#This Row],[Rok]]&gt;HoryzontInwestycyjny,0,IF(CzasKredytu&gt;=Tabela3[[#This Row],[Rok]],IF(ZmianaKosztów="Tak",UbezMiesz* PRODUCT(1+J153:J153), UbezMiesz),""))</f>
        <v>0</v>
      </c>
      <c r="V153" s="155" cm="1">
        <f t="array" ref="V153">IF(Tabela3[[#This Row],[Rok]]&gt;HoryzontInwestycyjny,0,IF(ZmianaKosztów="Tak", PodatekOdNieruchomości * PRODUCT(1+J$54:J152), PodNie))</f>
        <v>0</v>
      </c>
      <c r="W153" s="155">
        <f>KosztyZarządzania*Tabela3[[#This Row],[Przychody z wynajmu]]</f>
        <v>0</v>
      </c>
      <c r="X153" s="155" cm="1">
        <f t="array" ref="X153">IF(Tabela3[[#This Row],[Rok]]&gt;HoryzontInwestycyjny,0,IF(ZmianaKosztów="Tak", InneKosztyRocznie* PRODUCT(1+J$55:J153), InneKosztyRocznie))</f>
        <v>0</v>
      </c>
      <c r="Y153" s="155">
        <f>SUM(Tabela3[[#This Row],[Cena mieszkania + remont początkowy]:[Inne koszty]])-Tabela3[[#This Row],[Rata kredytu]]</f>
        <v>0</v>
      </c>
      <c r="Z153" s="155">
        <f>IF(Tabela3[[#This Row],[Przychody z wynajmu]]&lt;=100000, Tabela3[[#This Row],[Przychody z wynajmu]]*MałyPodatek, 100000*MałyPodatek + (Tabela3[[#This Row],[Przychody z wynajmu]]-100000)*DużyPodatek)</f>
        <v>0</v>
      </c>
      <c r="AA153" s="155">
        <f>Tabela3[[#This Row],[Wydatki związane z najmem całkowite]]+Tabela3[[#This Row],[Podatek od przychodu]]</f>
        <v>0</v>
      </c>
      <c r="AB153" s="155">
        <f>IF(Tabela3[[#This Row],[Rok]]&gt;HoryzontInwestycyjny,0,Tabela3[[#This Row],[Przychody z wynajmu]]-Tabela3[[#This Row],[Wydatki związane z najmem całkowite]]-Tabela3[[#This Row],[Podatek od przychodu]])</f>
        <v>0</v>
      </c>
      <c r="AC153" s="155">
        <f>IF(Tabela3[[#This Row],[Rok]]&gt;HoryzontInwestycyjny,0,AC152+Tabela3[[#This Row],[Wynik z najmu netto rocznie]])</f>
        <v>0</v>
      </c>
      <c r="AD153" s="176" t="str">
        <f>IF(Tabela3[[#This Row],[Rok]]&gt;HoryzontInwestycyjny,"",IF(ZmianaWartościNieruchomości="Inflacyjnie",Inflacja,0))</f>
        <v/>
      </c>
      <c r="AE153" s="177" t="str">
        <f>IF(Tabela3[[#This Row],[Rok]]&gt;HoryzontInwestycyjny,"",StałyProcentZmianyWartościNieruchomości)</f>
        <v/>
      </c>
      <c r="AF153" s="178" t="str">
        <f>IF(Tabela3[[#This Row],[Rok]]&gt;HoryzontInwestycyjny,"",StałaKwotaZmianyWartościNieruchomości)</f>
        <v/>
      </c>
      <c r="AG153" s="155">
        <f>IF(Tabela3[[#This Row],[Rok]]&gt;HoryzontInwestycyjny,0,IF(ZmianaWartościNieruchomości="bez zmian",AG152,IF(ZmianaWartościNieruchomości="inflacyjnie",AG152*(1+Tabela3[[#This Row],[Inflacja3]]),IF(ZmianaWartościNieruchomości="stały %",AG152*(1+Tabela3[[#This Row],[Stały % zmiany warrtości]]),IF(ZmianaWartościNieruchomości="stała kwota",AG152+AF153,AG152)))))</f>
        <v>0</v>
      </c>
      <c r="AH153" s="155">
        <f>IF(Tabela3[[#This Row],[Rok]]&gt;HoryzontInwestycyjny,0,Tabela3[[#This Row],[Wynik z najmu netto rocznie]] + IF(Tabela3[[#This Row],[Rok]]=HoryzontInwestycyjny,Tabela3[[#This Row],[Wartość nieruchomości]], 0))</f>
        <v>0</v>
      </c>
      <c r="AI153" s="177" cm="1">
        <f t="array" ref="AI153">Tabela3[[#This Row],[Wynik z najmu netto rocznie]]/IF(CzyKredyt="Tak",WydanaGotówka2,WydanaGotówka1)</f>
        <v>0</v>
      </c>
      <c r="AJ153" s="177" cm="1">
        <f t="array" ref="AJ153">Tabela3[[#This Row],[Wynik z najmu netto rocznie]]/IF(CzyKredyt="Tak",SumaKosztówPoczątkowychInwestycji,SumaKosztów)</f>
        <v>0</v>
      </c>
      <c r="AK153" s="155" cm="1">
        <f t="array" ref="AK153">IF(Tabela3[[#This Row],[Rok]]&gt;HoryzontInwestycyjny,0,-IF(CzyKredyt="Tak",WydanaGotówka2,WydanaGotówka1)+Tabela3[[#This Row],[Skumulowany wynik z najmu netto z najmu]])</f>
        <v>0</v>
      </c>
    </row>
  </sheetData>
  <mergeCells count="40">
    <mergeCell ref="B24:B25"/>
    <mergeCell ref="C24:C25"/>
    <mergeCell ref="D24:G25"/>
    <mergeCell ref="B12:B13"/>
    <mergeCell ref="C12:C13"/>
    <mergeCell ref="D12:G13"/>
    <mergeCell ref="B14:B16"/>
    <mergeCell ref="C14:C16"/>
    <mergeCell ref="D17:G17"/>
    <mergeCell ref="D18:G18"/>
    <mergeCell ref="D22:G22"/>
    <mergeCell ref="D23:G23"/>
    <mergeCell ref="D14:G16"/>
    <mergeCell ref="D4:G4"/>
    <mergeCell ref="B8:B9"/>
    <mergeCell ref="C8:C9"/>
    <mergeCell ref="D8:G9"/>
    <mergeCell ref="B10:B11"/>
    <mergeCell ref="C10:C11"/>
    <mergeCell ref="D10:G11"/>
    <mergeCell ref="B40:B42"/>
    <mergeCell ref="C40:C42"/>
    <mergeCell ref="D40:G42"/>
    <mergeCell ref="D26:G26"/>
    <mergeCell ref="B28:B29"/>
    <mergeCell ref="C28:C29"/>
    <mergeCell ref="D28:G29"/>
    <mergeCell ref="D32:G32"/>
    <mergeCell ref="D27:G27"/>
    <mergeCell ref="N6:P7"/>
    <mergeCell ref="N10:P11"/>
    <mergeCell ref="I24:N31"/>
    <mergeCell ref="D51:I51"/>
    <mergeCell ref="AD51:AG51"/>
    <mergeCell ref="J51:Z51"/>
    <mergeCell ref="AB51:AC51"/>
    <mergeCell ref="I32:K35"/>
    <mergeCell ref="L32:N35"/>
    <mergeCell ref="D34:G34"/>
    <mergeCell ref="D30:G30"/>
  </mergeCells>
  <conditionalFormatting sqref="B17:G17">
    <cfRule type="expression" dxfId="55" priority="66">
      <formula>$C$14="stała kwota"</formula>
    </cfRule>
  </conditionalFormatting>
  <conditionalFormatting sqref="B17:G18">
    <cfRule type="expression" dxfId="54" priority="68">
      <formula>$C$14="bez zmian"</formula>
    </cfRule>
    <cfRule type="expression" dxfId="53" priority="69">
      <formula>$C$14="inflacyjnie"</formula>
    </cfRule>
  </conditionalFormatting>
  <conditionalFormatting sqref="B18:G18">
    <cfRule type="expression" dxfId="52" priority="72">
      <formula>$C$14="stały %"</formula>
    </cfRule>
  </conditionalFormatting>
  <conditionalFormatting sqref="B43:G43">
    <cfRule type="expression" dxfId="51" priority="74">
      <formula>$C$40="stała kwota"</formula>
    </cfRule>
  </conditionalFormatting>
  <conditionalFormatting sqref="B43:G44">
    <cfRule type="expression" dxfId="50" priority="76">
      <formula>$C$40="inflacyjnie"</formula>
    </cfRule>
    <cfRule type="expression" dxfId="49" priority="77">
      <formula>$C$40="bez zmian"</formula>
    </cfRule>
  </conditionalFormatting>
  <conditionalFormatting sqref="B44:G44">
    <cfRule type="expression" dxfId="48" priority="80">
      <formula>$C$40="stały %"</formula>
    </cfRule>
  </conditionalFormatting>
  <conditionalFormatting sqref="D54:D153">
    <cfRule type="expression" dxfId="47" priority="10">
      <formula>$C$14="inflacyjnie"</formula>
    </cfRule>
    <cfRule type="expression" dxfId="46" priority="11">
      <formula>$C$14&lt;&gt;"inflacyjnie"</formula>
    </cfRule>
  </conditionalFormatting>
  <conditionalFormatting sqref="E54:E153">
    <cfRule type="expression" dxfId="45" priority="8">
      <formula>$C$14="stały %"</formula>
    </cfRule>
    <cfRule type="expression" dxfId="44" priority="9">
      <formula>$C$14&lt;&gt;"stały %"</formula>
    </cfRule>
  </conditionalFormatting>
  <conditionalFormatting sqref="F54:F153">
    <cfRule type="expression" dxfId="43" priority="6">
      <formula>$C$14="stała kwota"</formula>
    </cfRule>
    <cfRule type="expression" dxfId="42" priority="7">
      <formula>$C$14&lt;&gt;"stała kwota"</formula>
    </cfRule>
  </conditionalFormatting>
  <conditionalFormatting sqref="J54:J153">
    <cfRule type="expression" dxfId="41" priority="5">
      <formula>$C$34="NIE"</formula>
    </cfRule>
  </conditionalFormatting>
  <conditionalFormatting sqref="AD54:AD153">
    <cfRule type="expression" dxfId="40" priority="4">
      <formula>$C$40&lt;&gt;"inflacyjnie"</formula>
    </cfRule>
  </conditionalFormatting>
  <conditionalFormatting sqref="AE54:AE153">
    <cfRule type="expression" dxfId="39" priority="3">
      <formula>$C$40&lt;&gt;"stały %"</formula>
    </cfRule>
  </conditionalFormatting>
  <conditionalFormatting sqref="AF54:AF153">
    <cfRule type="expression" dxfId="38" priority="1">
      <formula>$C$40&lt;&gt;"stała kwota"</formula>
    </cfRule>
  </conditionalFormatting>
  <dataValidations count="2">
    <dataValidation type="list" allowBlank="1" showInputMessage="1" showErrorMessage="1" sqref="C34" xr:uid="{80D266EE-18E5-423D-A163-DB8491D6348A}">
      <formula1>"Tak, Nie"</formula1>
    </dataValidation>
    <dataValidation type="list" allowBlank="1" showInputMessage="1" showErrorMessage="1" sqref="C14:C16 C40" xr:uid="{C1DDA41A-4EBC-4282-A770-F9017C2A9CC7}">
      <formula1>"bez zmian, inflacyjnie, stały %, stała kwota"</formula1>
    </dataValidation>
  </dataValidations>
  <pageMargins left="0.7" right="0.7" top="0.75" bottom="0.75" header="0.3" footer="0.3"/>
  <legacy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B9D16-E3E8-4B49-997B-0A27ACBDF9DB}">
  <dimension ref="A1:C52"/>
  <sheetViews>
    <sheetView workbookViewId="0">
      <selection activeCell="B14" sqref="B14"/>
    </sheetView>
  </sheetViews>
  <sheetFormatPr defaultRowHeight="14.45"/>
  <cols>
    <col min="1" max="1" width="17.28515625" bestFit="1" customWidth="1"/>
    <col min="2" max="2" width="22.85546875" bestFit="1" customWidth="1"/>
    <col min="3" max="4" width="18.7109375" bestFit="1" customWidth="1"/>
  </cols>
  <sheetData>
    <row r="1" spans="1:3">
      <c r="A1" s="180" t="s">
        <v>256</v>
      </c>
      <c r="B1" t="s">
        <v>257</v>
      </c>
      <c r="C1" t="s">
        <v>258</v>
      </c>
    </row>
    <row r="2" spans="1:3">
      <c r="A2" s="181">
        <v>1</v>
      </c>
      <c r="B2" s="114">
        <v>19420.267945513617</v>
      </c>
      <c r="C2" s="114">
        <v>14759.58230264303</v>
      </c>
    </row>
    <row r="3" spans="1:3">
      <c r="A3" s="181">
        <v>2</v>
      </c>
      <c r="B3" s="114">
        <v>19510.474871820759</v>
      </c>
      <c r="C3" s="114">
        <v>14759.58230264303</v>
      </c>
    </row>
    <row r="4" spans="1:3">
      <c r="A4" s="181">
        <v>3</v>
      </c>
      <c r="B4" s="114">
        <v>19603.233294682868</v>
      </c>
      <c r="C4" s="114">
        <v>14759.58230264303</v>
      </c>
    </row>
    <row r="5" spans="1:3">
      <c r="A5" s="181">
        <v>4</v>
      </c>
      <c r="B5" s="114">
        <v>19698.6134558222</v>
      </c>
      <c r="C5" s="114">
        <v>14759.582302643033</v>
      </c>
    </row>
    <row r="6" spans="1:3">
      <c r="A6" s="181">
        <v>5</v>
      </c>
      <c r="B6" s="114">
        <v>19796.687447411634</v>
      </c>
      <c r="C6" s="114">
        <v>14759.58230264303</v>
      </c>
    </row>
    <row r="7" spans="1:3">
      <c r="A7" s="181">
        <v>6</v>
      </c>
      <c r="B7" s="114">
        <v>19897.529257125709</v>
      </c>
      <c r="C7" s="114">
        <v>14759.58230264303</v>
      </c>
    </row>
    <row r="8" spans="1:3">
      <c r="A8" s="181">
        <v>7</v>
      </c>
      <c r="B8" s="114">
        <v>20001.21481411696</v>
      </c>
      <c r="C8" s="114">
        <v>14759.58230264303</v>
      </c>
    </row>
    <row r="9" spans="1:3">
      <c r="A9" s="181">
        <v>8</v>
      </c>
      <c r="B9" s="114">
        <v>20107.822035927878</v>
      </c>
      <c r="C9" s="114">
        <v>14759.582302643032</v>
      </c>
    </row>
    <row r="10" spans="1:3">
      <c r="A10" s="181">
        <v>9</v>
      </c>
      <c r="B10" s="114">
        <v>20217.430876348604</v>
      </c>
      <c r="C10" s="114">
        <v>14759.582302643032</v>
      </c>
    </row>
    <row r="11" spans="1:3">
      <c r="A11" s="181">
        <v>10</v>
      </c>
      <c r="B11" s="114">
        <v>27416.346535606386</v>
      </c>
      <c r="C11" s="114">
        <v>14759.582302643033</v>
      </c>
    </row>
    <row r="12" spans="1:3">
      <c r="A12" s="181">
        <v>11</v>
      </c>
      <c r="B12" s="114">
        <v>20445.983703259641</v>
      </c>
      <c r="C12" s="114">
        <v>14759.58230264303</v>
      </c>
    </row>
    <row r="13" spans="1:3">
      <c r="A13" s="181">
        <v>12</v>
      </c>
      <c r="B13" s="114">
        <v>20565.098222714238</v>
      </c>
      <c r="C13" s="114">
        <v>14759.58230264303</v>
      </c>
    </row>
    <row r="14" spans="1:3">
      <c r="A14" s="181">
        <v>13</v>
      </c>
      <c r="B14" s="114">
        <v>20687.555529188117</v>
      </c>
      <c r="C14" s="114">
        <v>14759.582302643032</v>
      </c>
    </row>
    <row r="15" spans="1:3">
      <c r="A15" s="181">
        <v>14</v>
      </c>
      <c r="B15" s="114">
        <v>20813.446509313482</v>
      </c>
      <c r="C15" s="114">
        <v>14759.582302643033</v>
      </c>
    </row>
    <row r="16" spans="1:3">
      <c r="A16" s="181">
        <v>15</v>
      </c>
      <c r="B16" s="114">
        <v>20942.864393474079</v>
      </c>
      <c r="C16" s="114">
        <v>14759.58230264303</v>
      </c>
    </row>
    <row r="17" spans="1:3">
      <c r="A17" s="181">
        <v>16</v>
      </c>
      <c r="B17" s="114">
        <v>21075.904810520002</v>
      </c>
      <c r="C17" s="114">
        <v>14759.582302643033</v>
      </c>
    </row>
    <row r="18" spans="1:3">
      <c r="A18" s="181">
        <v>17</v>
      </c>
      <c r="B18">
        <v>21212.665843488365</v>
      </c>
      <c r="C18">
        <v>14759.58230264303</v>
      </c>
    </row>
    <row r="19" spans="1:3">
      <c r="A19" s="181">
        <v>18</v>
      </c>
      <c r="B19">
        <v>21353.248086334304</v>
      </c>
      <c r="C19">
        <v>14759.58230264303</v>
      </c>
    </row>
    <row r="20" spans="1:3">
      <c r="A20" s="181">
        <v>19</v>
      </c>
      <c r="B20">
        <v>21497.754701675545</v>
      </c>
      <c r="C20">
        <v>14759.58230264303</v>
      </c>
    </row>
    <row r="21" spans="1:3">
      <c r="A21" s="181">
        <v>20</v>
      </c>
      <c r="B21">
        <v>49230.695200508875</v>
      </c>
      <c r="C21">
        <v>14759.58230264303</v>
      </c>
    </row>
    <row r="22" spans="1:3">
      <c r="A22" s="181">
        <v>21</v>
      </c>
      <c r="B22">
        <v>21798.966897208506</v>
      </c>
      <c r="C22">
        <v>14759.582302643032</v>
      </c>
    </row>
    <row r="23" spans="1:3">
      <c r="A23" s="181">
        <v>22</v>
      </c>
      <c r="B23">
        <v>21955.892179880269</v>
      </c>
      <c r="C23">
        <v>14759.58230264303</v>
      </c>
    </row>
    <row r="24" spans="1:3">
      <c r="A24" s="181">
        <v>23</v>
      </c>
      <c r="B24">
        <v>22117.181362614294</v>
      </c>
      <c r="C24">
        <v>14759.58230264303</v>
      </c>
    </row>
    <row r="25" spans="1:3">
      <c r="A25" s="181">
        <v>24</v>
      </c>
      <c r="B25">
        <v>22282.951353089964</v>
      </c>
      <c r="C25">
        <v>14759.582302643032</v>
      </c>
    </row>
    <row r="26" spans="1:3">
      <c r="A26" s="181">
        <v>25</v>
      </c>
      <c r="B26">
        <v>22453.321995455604</v>
      </c>
      <c r="C26">
        <v>14759.58230264303</v>
      </c>
    </row>
    <row r="27" spans="1:3">
      <c r="A27" s="181">
        <v>26</v>
      </c>
      <c r="B27">
        <v>22628.416135168907</v>
      </c>
      <c r="C27">
        <v>14759.58230264303</v>
      </c>
    </row>
    <row r="28" spans="1:3">
      <c r="A28" s="181">
        <v>27</v>
      </c>
      <c r="B28">
        <v>22808.359684835079</v>
      </c>
      <c r="C28">
        <v>14759.58230264303</v>
      </c>
    </row>
    <row r="29" spans="1:3">
      <c r="A29" s="181">
        <v>28</v>
      </c>
      <c r="B29">
        <v>22993.281691034193</v>
      </c>
      <c r="C29">
        <v>14759.58230264303</v>
      </c>
    </row>
    <row r="30" spans="1:3">
      <c r="A30" s="181">
        <v>29</v>
      </c>
      <c r="B30">
        <v>23183.31440212718</v>
      </c>
      <c r="C30">
        <v>14759.582302643032</v>
      </c>
    </row>
    <row r="31" spans="1:3">
      <c r="A31" s="181">
        <v>30</v>
      </c>
      <c r="B31">
        <v>36195.673485234693</v>
      </c>
      <c r="C31">
        <v>14759.582302643032</v>
      </c>
    </row>
    <row r="32" spans="1:3">
      <c r="A32" s="181">
        <v>31</v>
      </c>
      <c r="B32">
        <v>9693.8294289252717</v>
      </c>
      <c r="C32">
        <v>1229.9651918869192</v>
      </c>
    </row>
    <row r="33" spans="1:3">
      <c r="A33" s="181">
        <v>32</v>
      </c>
      <c r="B33">
        <v>8717.7801641495043</v>
      </c>
      <c r="C33">
        <v>0</v>
      </c>
    </row>
    <row r="34" spans="1:3">
      <c r="A34" s="181">
        <v>33</v>
      </c>
      <c r="B34">
        <v>8979.3135690739891</v>
      </c>
      <c r="C34">
        <v>0</v>
      </c>
    </row>
    <row r="35" spans="1:3">
      <c r="A35" s="181">
        <v>34</v>
      </c>
      <c r="B35">
        <v>9248.6929761462088</v>
      </c>
      <c r="C35">
        <v>0</v>
      </c>
    </row>
    <row r="36" spans="1:3">
      <c r="A36" s="181">
        <v>35</v>
      </c>
      <c r="B36">
        <v>9526.1537654305957</v>
      </c>
      <c r="C36">
        <v>0</v>
      </c>
    </row>
    <row r="37" spans="1:3">
      <c r="A37" s="181">
        <v>36</v>
      </c>
      <c r="B37">
        <v>9811.9383783935136</v>
      </c>
      <c r="C37">
        <v>0</v>
      </c>
    </row>
    <row r="38" spans="1:3">
      <c r="A38" s="181">
        <v>37</v>
      </c>
      <c r="B38">
        <v>10106.296529745319</v>
      </c>
      <c r="C38">
        <v>0</v>
      </c>
    </row>
    <row r="39" spans="1:3">
      <c r="A39" s="181">
        <v>38</v>
      </c>
      <c r="B39">
        <v>10409.48542563768</v>
      </c>
      <c r="C39">
        <v>0</v>
      </c>
    </row>
    <row r="40" spans="1:3">
      <c r="A40" s="181">
        <v>39</v>
      </c>
      <c r="B40">
        <v>10721.76998840681</v>
      </c>
      <c r="C40">
        <v>0</v>
      </c>
    </row>
    <row r="41" spans="1:3">
      <c r="A41" s="181">
        <v>40</v>
      </c>
      <c r="B41">
        <v>60863.924550134252</v>
      </c>
      <c r="C41">
        <v>0</v>
      </c>
    </row>
    <row r="42" spans="1:3">
      <c r="A42" s="181">
        <v>41</v>
      </c>
      <c r="B42">
        <v>11576.230456795598</v>
      </c>
      <c r="C42">
        <v>0</v>
      </c>
    </row>
    <row r="43" spans="1:3">
      <c r="A43" s="181">
        <v>42</v>
      </c>
      <c r="B43">
        <v>12043.517370499463</v>
      </c>
      <c r="C43">
        <v>0</v>
      </c>
    </row>
    <row r="44" spans="1:3">
      <c r="A44" s="181">
        <v>43</v>
      </c>
      <c r="B44">
        <v>12524.822891614447</v>
      </c>
      <c r="C44">
        <v>0</v>
      </c>
    </row>
    <row r="45" spans="1:3">
      <c r="A45" s="181">
        <v>44</v>
      </c>
      <c r="B45">
        <v>13020.567578362883</v>
      </c>
      <c r="C45">
        <v>0</v>
      </c>
    </row>
    <row r="46" spans="1:3">
      <c r="A46" s="181">
        <v>45</v>
      </c>
      <c r="B46">
        <v>13531.184605713772</v>
      </c>
      <c r="C46">
        <v>0</v>
      </c>
    </row>
    <row r="47" spans="1:3">
      <c r="A47" s="181">
        <v>46</v>
      </c>
      <c r="B47">
        <v>14057.120143885188</v>
      </c>
      <c r="C47">
        <v>0</v>
      </c>
    </row>
    <row r="48" spans="1:3">
      <c r="A48" s="181">
        <v>47</v>
      </c>
      <c r="B48">
        <v>14598.833748201741</v>
      </c>
      <c r="C48">
        <v>0</v>
      </c>
    </row>
    <row r="49" spans="1:3">
      <c r="A49" s="181">
        <v>48</v>
      </c>
      <c r="B49">
        <v>15156.798760647795</v>
      </c>
      <c r="C49">
        <v>0</v>
      </c>
    </row>
    <row r="50" spans="1:3">
      <c r="A50" s="181">
        <v>49</v>
      </c>
      <c r="B50">
        <v>15731.502723467231</v>
      </c>
      <c r="C50">
        <v>0</v>
      </c>
    </row>
    <row r="51" spans="1:3">
      <c r="A51" s="181">
        <v>50</v>
      </c>
      <c r="B51">
        <v>39200.627271725265</v>
      </c>
      <c r="C51">
        <v>0</v>
      </c>
    </row>
    <row r="52" spans="1:3">
      <c r="A52" s="181" t="s">
        <v>259</v>
      </c>
      <c r="B52">
        <v>991432.58704845828</v>
      </c>
      <c r="C52">
        <v>444017.43427117815</v>
      </c>
    </row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E02FE-8328-40AA-AB96-B124B39A47C0}">
  <dimension ref="A1:B52"/>
  <sheetViews>
    <sheetView workbookViewId="0">
      <selection activeCell="B8" sqref="B8"/>
    </sheetView>
  </sheetViews>
  <sheetFormatPr defaultRowHeight="14.45"/>
  <cols>
    <col min="1" max="1" width="16.28515625" bestFit="1" customWidth="1"/>
    <col min="2" max="2" width="32.28515625" bestFit="1" customWidth="1"/>
    <col min="3" max="3" width="12" bestFit="1" customWidth="1"/>
    <col min="4" max="4" width="10" bestFit="1" customWidth="1"/>
    <col min="5" max="6" width="12" bestFit="1" customWidth="1"/>
    <col min="7" max="10" width="2" bestFit="1" customWidth="1"/>
    <col min="11" max="51" width="3" bestFit="1" customWidth="1"/>
    <col min="52" max="52" width="18.28515625" bestFit="1" customWidth="1"/>
    <col min="53" max="53" width="14" bestFit="1" customWidth="1"/>
  </cols>
  <sheetData>
    <row r="1" spans="1:2">
      <c r="A1" s="180" t="s">
        <v>260</v>
      </c>
      <c r="B1" t="s">
        <v>261</v>
      </c>
    </row>
    <row r="2" spans="1:2">
      <c r="A2" s="181">
        <v>1</v>
      </c>
      <c r="B2" s="114">
        <v>12779.732054486383</v>
      </c>
    </row>
    <row r="3" spans="1:2">
      <c r="A3" s="181">
        <v>2</v>
      </c>
      <c r="B3" s="114">
        <v>13655.525128179241</v>
      </c>
    </row>
    <row r="4" spans="1:2">
      <c r="A4" s="181">
        <v>3</v>
      </c>
      <c r="B4" s="114">
        <v>14557.746705317135</v>
      </c>
    </row>
    <row r="5" spans="1:2">
      <c r="A5" s="181">
        <v>4</v>
      </c>
      <c r="B5" s="114">
        <v>15487.195944177798</v>
      </c>
    </row>
    <row r="6" spans="1:2">
      <c r="A6" s="181">
        <v>5</v>
      </c>
      <c r="B6" s="114">
        <v>16444.696234588366</v>
      </c>
    </row>
    <row r="7" spans="1:2">
      <c r="A7" s="181">
        <v>6</v>
      </c>
      <c r="B7" s="114">
        <v>17431.095935334291</v>
      </c>
    </row>
    <row r="8" spans="1:2">
      <c r="A8" s="181">
        <v>7</v>
      </c>
      <c r="B8" s="114">
        <v>18447.269134116839</v>
      </c>
    </row>
    <row r="9" spans="1:2">
      <c r="A9" s="181">
        <v>8</v>
      </c>
      <c r="B9" s="114">
        <v>19494.11643075294</v>
      </c>
    </row>
    <row r="10" spans="1:2">
      <c r="A10" s="181">
        <v>9</v>
      </c>
      <c r="B10" s="114">
        <v>20572.565744332634</v>
      </c>
    </row>
    <row r="11" spans="1:2">
      <c r="A11" s="181">
        <v>10</v>
      </c>
      <c r="B11" s="114">
        <v>12770.667526334346</v>
      </c>
    </row>
    <row r="12" spans="1:2">
      <c r="A12" s="181">
        <v>11</v>
      </c>
      <c r="B12" s="114">
        <v>22828.123711621083</v>
      </c>
    </row>
    <row r="13" spans="1:2">
      <c r="A13" s="181">
        <v>12</v>
      </c>
      <c r="B13" s="114">
        <v>24007.23241461291</v>
      </c>
    </row>
    <row r="14" spans="1:2">
      <c r="A14" s="181">
        <v>13</v>
      </c>
      <c r="B14" s="114">
        <v>25221.945027258844</v>
      </c>
    </row>
    <row r="15" spans="1:2">
      <c r="A15" s="181">
        <v>14</v>
      </c>
      <c r="B15" s="114">
        <v>26473.339063826894</v>
      </c>
    </row>
    <row r="16" spans="1:2">
      <c r="A16" s="181">
        <v>15</v>
      </c>
      <c r="B16" s="114">
        <v>27762.524746860505</v>
      </c>
    </row>
    <row r="17" spans="1:2">
      <c r="A17" s="181">
        <v>16</v>
      </c>
      <c r="B17" s="114">
        <v>29090.646004024627</v>
      </c>
    </row>
    <row r="18" spans="1:2">
      <c r="A18" s="181">
        <v>17</v>
      </c>
      <c r="B18" s="114">
        <v>30458.881495492602</v>
      </c>
    </row>
    <row r="19" spans="1:2">
      <c r="A19" s="181">
        <v>18</v>
      </c>
      <c r="B19" s="114">
        <v>31868.445672816095</v>
      </c>
    </row>
    <row r="20" spans="1:2">
      <c r="A20" s="181">
        <v>19</v>
      </c>
      <c r="B20" s="114">
        <v>33320.589870249372</v>
      </c>
    </row>
    <row r="21" spans="1:2">
      <c r="A21" s="181">
        <v>20</v>
      </c>
      <c r="B21" s="114">
        <v>4777.2912342658465</v>
      </c>
    </row>
    <row r="22" spans="1:2">
      <c r="A22" s="181">
        <v>21</v>
      </c>
      <c r="B22" s="114">
        <v>36357.814859146638</v>
      </c>
    </row>
    <row r="23" spans="1:2">
      <c r="A23" s="181">
        <v>22</v>
      </c>
      <c r="B23" s="114">
        <v>37945.593029165531</v>
      </c>
    </row>
    <row r="24" spans="1:2">
      <c r="A24" s="181">
        <v>23</v>
      </c>
      <c r="B24" s="114">
        <v>39581.348402702875</v>
      </c>
    </row>
    <row r="25" spans="1:2">
      <c r="A25" s="181">
        <v>24</v>
      </c>
      <c r="B25" s="114">
        <v>41266.534305186731</v>
      </c>
    </row>
    <row r="26" spans="1:2">
      <c r="A26" s="181">
        <v>25</v>
      </c>
      <c r="B26" s="114">
        <v>43002.648232569394</v>
      </c>
    </row>
    <row r="27" spans="1:2">
      <c r="A27" s="181">
        <v>26</v>
      </c>
      <c r="B27" s="114">
        <v>44791.233199696842</v>
      </c>
    </row>
    <row r="28" spans="1:2">
      <c r="A28" s="181">
        <v>27</v>
      </c>
      <c r="B28" s="114">
        <v>46633.879130076639</v>
      </c>
    </row>
    <row r="29" spans="1:2">
      <c r="A29" s="181">
        <v>28</v>
      </c>
      <c r="B29" s="114">
        <v>48532.224288324891</v>
      </c>
    </row>
    <row r="30" spans="1:2">
      <c r="A30" s="181">
        <v>29</v>
      </c>
      <c r="B30" s="114">
        <v>50487.956756612672</v>
      </c>
    </row>
    <row r="31" spans="1:2">
      <c r="A31" s="181">
        <v>30</v>
      </c>
      <c r="B31" s="114">
        <v>36386.544099854225</v>
      </c>
    </row>
    <row r="32" spans="1:2">
      <c r="A32" s="181">
        <v>31</v>
      </c>
      <c r="B32" s="114">
        <v>68464.022143381837</v>
      </c>
    </row>
    <row r="33" spans="1:2">
      <c r="A33" s="181">
        <v>32</v>
      </c>
      <c r="B33" s="114">
        <v>71784.806955326843</v>
      </c>
    </row>
    <row r="34" spans="1:2">
      <c r="A34" s="181">
        <v>33</v>
      </c>
      <c r="B34" s="114">
        <v>73938.351163986648</v>
      </c>
    </row>
    <row r="35" spans="1:2">
      <c r="A35" s="181">
        <v>34</v>
      </c>
      <c r="B35" s="114">
        <v>76156.501698906242</v>
      </c>
    </row>
    <row r="36" spans="1:2">
      <c r="A36" s="181">
        <v>35</v>
      </c>
      <c r="B36" s="114">
        <v>78441.196749873445</v>
      </c>
    </row>
    <row r="37" spans="1:2">
      <c r="A37" s="181">
        <v>36</v>
      </c>
      <c r="B37" s="114">
        <v>80794.432652369636</v>
      </c>
    </row>
    <row r="38" spans="1:2">
      <c r="A38" s="181">
        <v>37</v>
      </c>
      <c r="B38" s="114">
        <v>83218.26563194074</v>
      </c>
    </row>
    <row r="39" spans="1:2">
      <c r="A39" s="181">
        <v>38</v>
      </c>
      <c r="B39" s="114">
        <v>85714.813600898968</v>
      </c>
    </row>
    <row r="40" spans="1:2">
      <c r="A40" s="181">
        <v>39</v>
      </c>
      <c r="B40" s="114">
        <v>88286.258008925928</v>
      </c>
    </row>
    <row r="41" spans="1:2">
      <c r="A41" s="181">
        <v>40</v>
      </c>
      <c r="B41" s="114">
        <v>36680.506511585758</v>
      </c>
    </row>
    <row r="42" spans="1:2">
      <c r="A42" s="181">
        <v>41</v>
      </c>
      <c r="B42" s="114">
        <v>93461.38644557471</v>
      </c>
    </row>
    <row r="43" spans="1:2">
      <c r="A43" s="181">
        <v>42</v>
      </c>
      <c r="B43" s="114">
        <v>96145.228038941947</v>
      </c>
    </row>
    <row r="44" spans="1:2">
      <c r="A44" s="181">
        <v>43</v>
      </c>
      <c r="B44" s="114">
        <v>98909.584880110211</v>
      </c>
    </row>
    <row r="45" spans="1:2">
      <c r="A45" s="181">
        <v>44</v>
      </c>
      <c r="B45" s="114">
        <v>101756.87242651352</v>
      </c>
    </row>
    <row r="46" spans="1:2">
      <c r="A46" s="181">
        <v>45</v>
      </c>
      <c r="B46" s="114">
        <v>104689.57859930895</v>
      </c>
    </row>
    <row r="47" spans="1:2">
      <c r="A47" s="181">
        <v>46</v>
      </c>
      <c r="B47" s="114">
        <v>107710.26595728821</v>
      </c>
    </row>
    <row r="48" spans="1:2">
      <c r="A48" s="181">
        <v>47</v>
      </c>
      <c r="B48" s="114">
        <v>110821.57393600687</v>
      </c>
    </row>
    <row r="49" spans="1:2">
      <c r="A49" s="181">
        <v>48</v>
      </c>
      <c r="B49" s="114">
        <v>114026.22115408708</v>
      </c>
    </row>
    <row r="50" spans="1:2">
      <c r="A50" s="181">
        <v>49</v>
      </c>
      <c r="B50" s="114">
        <v>117327.0077887097</v>
      </c>
    </row>
    <row r="51" spans="1:2">
      <c r="A51" s="181">
        <v>50</v>
      </c>
      <c r="B51" s="114">
        <v>91890.931345923804</v>
      </c>
    </row>
    <row r="52" spans="1:2">
      <c r="A52" s="181" t="s">
        <v>259</v>
      </c>
      <c r="B52" s="114">
        <v>2622653.2120716465</v>
      </c>
    </row>
  </sheetData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D0F6B-CF20-4328-9B13-2B8D6306FBA3}">
  <dimension ref="A1:C52"/>
  <sheetViews>
    <sheetView workbookViewId="0">
      <selection activeCell="K37" sqref="K37"/>
    </sheetView>
  </sheetViews>
  <sheetFormatPr defaultRowHeight="14.45"/>
  <cols>
    <col min="1" max="1" width="17.28515625" bestFit="1" customWidth="1"/>
    <col min="2" max="2" width="26.28515625" bestFit="1" customWidth="1"/>
    <col min="3" max="4" width="22.85546875" bestFit="1" customWidth="1"/>
  </cols>
  <sheetData>
    <row r="1" spans="1:3">
      <c r="A1" s="180" t="s">
        <v>256</v>
      </c>
      <c r="B1" s="6" t="s">
        <v>262</v>
      </c>
      <c r="C1" t="s">
        <v>257</v>
      </c>
    </row>
    <row r="2" spans="1:3">
      <c r="A2" s="181">
        <v>1</v>
      </c>
      <c r="B2" s="182">
        <v>32200</v>
      </c>
      <c r="C2" s="182">
        <v>19420.267945513617</v>
      </c>
    </row>
    <row r="3" spans="1:3">
      <c r="A3" s="181">
        <v>2</v>
      </c>
      <c r="B3" s="182">
        <v>33166</v>
      </c>
      <c r="C3" s="182">
        <v>19510.474871820759</v>
      </c>
    </row>
    <row r="4" spans="1:3">
      <c r="A4" s="181">
        <v>3</v>
      </c>
      <c r="B4" s="182">
        <v>34160.980000000003</v>
      </c>
      <c r="C4" s="182">
        <v>19603.233294682868</v>
      </c>
    </row>
    <row r="5" spans="1:3">
      <c r="A5" s="181">
        <v>4</v>
      </c>
      <c r="B5" s="182">
        <v>35185.809399999998</v>
      </c>
      <c r="C5" s="182">
        <v>19698.6134558222</v>
      </c>
    </row>
    <row r="6" spans="1:3">
      <c r="A6" s="181">
        <v>5</v>
      </c>
      <c r="B6" s="182">
        <v>36241.383682</v>
      </c>
      <c r="C6" s="182">
        <v>19796.687447411634</v>
      </c>
    </row>
    <row r="7" spans="1:3">
      <c r="A7" s="181">
        <v>6</v>
      </c>
      <c r="B7" s="182">
        <v>37328.62519246</v>
      </c>
      <c r="C7" s="182">
        <v>19897.529257125709</v>
      </c>
    </row>
    <row r="8" spans="1:3">
      <c r="A8" s="181">
        <v>7</v>
      </c>
      <c r="B8" s="182">
        <v>38448.483948233799</v>
      </c>
      <c r="C8" s="182">
        <v>20001.21481411696</v>
      </c>
    </row>
    <row r="9" spans="1:3">
      <c r="A9" s="181">
        <v>8</v>
      </c>
      <c r="B9" s="182">
        <v>39601.938466680818</v>
      </c>
      <c r="C9" s="182">
        <v>20107.822035927878</v>
      </c>
    </row>
    <row r="10" spans="1:3">
      <c r="A10" s="181">
        <v>9</v>
      </c>
      <c r="B10" s="182">
        <v>40789.996620681239</v>
      </c>
      <c r="C10" s="182">
        <v>20217.430876348604</v>
      </c>
    </row>
    <row r="11" spans="1:3">
      <c r="A11" s="181">
        <v>10</v>
      </c>
      <c r="B11" s="182">
        <v>40187.014061940732</v>
      </c>
      <c r="C11" s="182">
        <v>27416.346535606386</v>
      </c>
    </row>
    <row r="12" spans="1:3">
      <c r="A12" s="181">
        <v>11</v>
      </c>
      <c r="B12" s="182">
        <v>43274.107414880724</v>
      </c>
      <c r="C12" s="182">
        <v>20445.983703259641</v>
      </c>
    </row>
    <row r="13" spans="1:3">
      <c r="A13" s="181">
        <v>12</v>
      </c>
      <c r="B13" s="182">
        <v>44572.330637327148</v>
      </c>
      <c r="C13" s="182">
        <v>20565.098222714238</v>
      </c>
    </row>
    <row r="14" spans="1:3">
      <c r="A14" s="181">
        <v>13</v>
      </c>
      <c r="B14" s="182">
        <v>45909.500556446961</v>
      </c>
      <c r="C14" s="182">
        <v>20687.555529188117</v>
      </c>
    </row>
    <row r="15" spans="1:3">
      <c r="A15" s="181">
        <v>14</v>
      </c>
      <c r="B15" s="182">
        <v>47286.785573140376</v>
      </c>
      <c r="C15" s="182">
        <v>20813.446509313482</v>
      </c>
    </row>
    <row r="16" spans="1:3">
      <c r="A16" s="181">
        <v>15</v>
      </c>
      <c r="B16" s="182">
        <v>48705.389140334584</v>
      </c>
      <c r="C16" s="182">
        <v>20942.864393474079</v>
      </c>
    </row>
    <row r="17" spans="1:3">
      <c r="A17" s="181">
        <v>16</v>
      </c>
      <c r="B17" s="182">
        <v>50166.550814544629</v>
      </c>
      <c r="C17" s="182">
        <v>21075.904810520002</v>
      </c>
    </row>
    <row r="18" spans="1:3">
      <c r="A18" s="181">
        <v>17</v>
      </c>
      <c r="B18" s="182">
        <v>51671.54733898097</v>
      </c>
      <c r="C18" s="182">
        <v>21212.665843488365</v>
      </c>
    </row>
    <row r="19" spans="1:3">
      <c r="A19" s="181">
        <v>18</v>
      </c>
      <c r="B19" s="182">
        <v>53221.693759150403</v>
      </c>
      <c r="C19" s="182">
        <v>21353.248086334304</v>
      </c>
    </row>
    <row r="20" spans="1:3">
      <c r="A20" s="181">
        <v>19</v>
      </c>
      <c r="B20" s="182">
        <v>54818.344571924914</v>
      </c>
      <c r="C20" s="182">
        <v>21497.754701675545</v>
      </c>
    </row>
    <row r="21" spans="1:3">
      <c r="A21" s="181">
        <v>20</v>
      </c>
      <c r="B21" s="182">
        <v>54007.986434774721</v>
      </c>
      <c r="C21" s="182">
        <v>49230.695200508875</v>
      </c>
    </row>
    <row r="22" spans="1:3">
      <c r="A22" s="181">
        <v>21</v>
      </c>
      <c r="B22">
        <v>58156.781756355143</v>
      </c>
      <c r="C22">
        <v>21798.966897208506</v>
      </c>
    </row>
    <row r="23" spans="1:3">
      <c r="A23" s="181">
        <v>22</v>
      </c>
      <c r="B23">
        <v>59901.485209045801</v>
      </c>
      <c r="C23">
        <v>21955.892179880269</v>
      </c>
    </row>
    <row r="24" spans="1:3">
      <c r="A24" s="181">
        <v>23</v>
      </c>
      <c r="B24">
        <v>61698.529765317173</v>
      </c>
      <c r="C24">
        <v>22117.181362614294</v>
      </c>
    </row>
    <row r="25" spans="1:3">
      <c r="A25" s="181">
        <v>24</v>
      </c>
      <c r="B25">
        <v>63549.485658276695</v>
      </c>
      <c r="C25">
        <v>22282.951353089964</v>
      </c>
    </row>
    <row r="26" spans="1:3">
      <c r="A26" s="181">
        <v>25</v>
      </c>
      <c r="B26">
        <v>65455.970228024999</v>
      </c>
      <c r="C26">
        <v>22453.321995455604</v>
      </c>
    </row>
    <row r="27" spans="1:3">
      <c r="A27" s="181">
        <v>26</v>
      </c>
      <c r="B27">
        <v>67419.649334865753</v>
      </c>
      <c r="C27">
        <v>22628.416135168907</v>
      </c>
    </row>
    <row r="28" spans="1:3">
      <c r="A28" s="181">
        <v>27</v>
      </c>
      <c r="B28">
        <v>69442.238814911718</v>
      </c>
      <c r="C28">
        <v>22808.359684835079</v>
      </c>
    </row>
    <row r="29" spans="1:3">
      <c r="A29" s="181">
        <v>28</v>
      </c>
      <c r="B29">
        <v>71525.505979359077</v>
      </c>
      <c r="C29">
        <v>22993.281691034193</v>
      </c>
    </row>
    <row r="30" spans="1:3">
      <c r="A30" s="181">
        <v>29</v>
      </c>
      <c r="B30">
        <v>73671.271158739852</v>
      </c>
      <c r="C30">
        <v>23183.31440212718</v>
      </c>
    </row>
    <row r="31" spans="1:3">
      <c r="A31" s="181">
        <v>30</v>
      </c>
      <c r="B31">
        <v>72582.217585088918</v>
      </c>
      <c r="C31">
        <v>36195.673485234693</v>
      </c>
    </row>
    <row r="32" spans="1:3">
      <c r="A32" s="181">
        <v>31</v>
      </c>
      <c r="B32">
        <v>78157.851572307118</v>
      </c>
      <c r="C32">
        <v>9693.8294289252717</v>
      </c>
    </row>
    <row r="33" spans="1:3">
      <c r="A33" s="181">
        <v>32</v>
      </c>
      <c r="B33">
        <v>80502.587119476346</v>
      </c>
      <c r="C33">
        <v>8717.7801641495043</v>
      </c>
    </row>
    <row r="34" spans="1:3">
      <c r="A34" s="181">
        <v>33</v>
      </c>
      <c r="B34">
        <v>82917.664733060636</v>
      </c>
      <c r="C34">
        <v>8979.3135690739891</v>
      </c>
    </row>
    <row r="35" spans="1:3">
      <c r="A35" s="181">
        <v>34</v>
      </c>
      <c r="B35">
        <v>85405.194675052451</v>
      </c>
      <c r="C35">
        <v>9248.6929761462088</v>
      </c>
    </row>
    <row r="36" spans="1:3">
      <c r="A36" s="181">
        <v>35</v>
      </c>
      <c r="B36">
        <v>87967.350515304031</v>
      </c>
      <c r="C36">
        <v>9526.1537654305957</v>
      </c>
    </row>
    <row r="37" spans="1:3">
      <c r="A37" s="181">
        <v>36</v>
      </c>
      <c r="B37">
        <v>90606.371030763155</v>
      </c>
      <c r="C37">
        <v>9811.9383783935136</v>
      </c>
    </row>
    <row r="38" spans="1:3">
      <c r="A38" s="181">
        <v>37</v>
      </c>
      <c r="B38">
        <v>93324.562161686044</v>
      </c>
      <c r="C38">
        <v>10106.296529745319</v>
      </c>
    </row>
    <row r="39" spans="1:3">
      <c r="A39" s="181">
        <v>38</v>
      </c>
      <c r="B39">
        <v>96124.299026536639</v>
      </c>
      <c r="C39">
        <v>10409.48542563768</v>
      </c>
    </row>
    <row r="40" spans="1:3">
      <c r="A40" s="181">
        <v>39</v>
      </c>
      <c r="B40">
        <v>99008.027997332742</v>
      </c>
      <c r="C40">
        <v>10721.76998840681</v>
      </c>
    </row>
    <row r="41" spans="1:3">
      <c r="A41" s="181">
        <v>40</v>
      </c>
      <c r="B41">
        <v>97544.43106172001</v>
      </c>
      <c r="C41">
        <v>60863.924550134252</v>
      </c>
    </row>
    <row r="42" spans="1:3">
      <c r="A42" s="181">
        <v>41</v>
      </c>
      <c r="B42">
        <v>105037.61690237031</v>
      </c>
      <c r="C42">
        <v>11576.230456795598</v>
      </c>
    </row>
    <row r="43" spans="1:3">
      <c r="A43" s="181">
        <v>42</v>
      </c>
      <c r="B43">
        <v>108188.74540944141</v>
      </c>
      <c r="C43">
        <v>12043.517370499463</v>
      </c>
    </row>
    <row r="44" spans="1:3">
      <c r="A44" s="181">
        <v>43</v>
      </c>
      <c r="B44">
        <v>111434.40777172465</v>
      </c>
      <c r="C44">
        <v>12524.822891614447</v>
      </c>
    </row>
    <row r="45" spans="1:3">
      <c r="A45" s="181">
        <v>44</v>
      </c>
      <c r="B45">
        <v>114777.44000487641</v>
      </c>
      <c r="C45">
        <v>13020.567578362883</v>
      </c>
    </row>
    <row r="46" spans="1:3">
      <c r="A46" s="181">
        <v>45</v>
      </c>
      <c r="B46">
        <v>118220.76320502271</v>
      </c>
      <c r="C46">
        <v>13531.184605713772</v>
      </c>
    </row>
    <row r="47" spans="1:3">
      <c r="A47" s="181">
        <v>46</v>
      </c>
      <c r="B47">
        <v>121767.38610117341</v>
      </c>
      <c r="C47">
        <v>14057.120143885188</v>
      </c>
    </row>
    <row r="48" spans="1:3">
      <c r="A48" s="181">
        <v>47</v>
      </c>
      <c r="B48">
        <v>125420.40768420861</v>
      </c>
      <c r="C48">
        <v>14598.833748201741</v>
      </c>
    </row>
    <row r="49" spans="1:3">
      <c r="A49" s="181">
        <v>48</v>
      </c>
      <c r="B49">
        <v>129183.01991473488</v>
      </c>
      <c r="C49">
        <v>15156.798760647795</v>
      </c>
    </row>
    <row r="50" spans="1:3">
      <c r="A50" s="181">
        <v>49</v>
      </c>
      <c r="B50">
        <v>133058.51051217693</v>
      </c>
      <c r="C50">
        <v>15731.502723467231</v>
      </c>
    </row>
    <row r="51" spans="1:3">
      <c r="A51" s="181">
        <v>50</v>
      </c>
      <c r="B51">
        <v>131091.55861764908</v>
      </c>
      <c r="C51">
        <v>39200.627271725265</v>
      </c>
    </row>
    <row r="52" spans="1:3">
      <c r="A52" s="181" t="s">
        <v>259</v>
      </c>
      <c r="B52">
        <v>3614085.7991201053</v>
      </c>
      <c r="C52">
        <v>991432.58704845828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Paweł Woldan</dc:creator>
  <cp:keywords/>
  <dc:description/>
  <cp:lastModifiedBy>Paweł Woldan</cp:lastModifiedBy>
  <cp:revision/>
  <dcterms:created xsi:type="dcterms:W3CDTF">2025-03-14T05:57:46Z</dcterms:created>
  <dcterms:modified xsi:type="dcterms:W3CDTF">2025-10-18T07:02:18Z</dcterms:modified>
  <cp:category/>
  <cp:contentStatus/>
</cp:coreProperties>
</file>